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lozano/Documents/Grad School/Ch. 1 - NCST Local Govs LCA/"/>
    </mc:Choice>
  </mc:AlternateContent>
  <xr:revisionPtr revIDLastSave="0" documentId="13_ncr:1_{643810B7-E6E8-2646-8E7D-95C45363CAAE}" xr6:coauthVersionLast="45" xr6:coauthVersionMax="45" xr10:uidLastSave="{00000000-0000-0000-0000-000000000000}"/>
  <bookViews>
    <workbookView xWindow="640" yWindow="460" windowWidth="28160" windowHeight="17540" activeTab="2" xr2:uid="{E70ADB8A-90E8-D94D-9E30-7FF936C0AFAA}"/>
  </bookViews>
  <sheets>
    <sheet name="Emissions + Cost" sheetId="5" r:id="rId1"/>
    <sheet name="LCI" sheetId="9" r:id="rId2"/>
    <sheet name="Parking Lot Info" sheetId="10" r:id="rId3"/>
    <sheet name="Beams Info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5" l="1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C20" i="5"/>
  <c r="G6" i="11" l="1"/>
  <c r="C18" i="11"/>
  <c r="C19" i="11" s="1"/>
  <c r="C20" i="11" s="1"/>
  <c r="C17" i="11"/>
  <c r="G8" i="11"/>
  <c r="D3" i="5" l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C12" i="9" l="1"/>
  <c r="C8" i="5" s="1"/>
  <c r="C7" i="9"/>
  <c r="C8" i="9" s="1"/>
  <c r="C44" i="9" s="1"/>
  <c r="C39" i="11"/>
  <c r="C40" i="11" s="1"/>
  <c r="C41" i="11" s="1"/>
  <c r="C38" i="11"/>
  <c r="C32" i="11"/>
  <c r="C33" i="11" s="1"/>
  <c r="C34" i="11" s="1"/>
  <c r="C31" i="11"/>
  <c r="C25" i="11"/>
  <c r="C26" i="11" s="1"/>
  <c r="C27" i="11" s="1"/>
  <c r="C24" i="11"/>
  <c r="C11" i="11"/>
  <c r="C12" i="11" s="1"/>
  <c r="C13" i="11" s="1"/>
  <c r="C10" i="11"/>
  <c r="C4" i="11"/>
  <c r="C3" i="11"/>
  <c r="C5" i="11"/>
  <c r="C6" i="9"/>
  <c r="J9" i="9"/>
  <c r="J11" i="9" s="1"/>
  <c r="J12" i="9" s="1"/>
  <c r="J13" i="9" s="1"/>
  <c r="H37" i="9"/>
  <c r="H38" i="9" s="1"/>
  <c r="C39" i="9" s="1"/>
  <c r="C36" i="9"/>
  <c r="J27" i="9"/>
  <c r="J28" i="9" s="1"/>
  <c r="J29" i="9" s="1"/>
  <c r="C25" i="9" s="1"/>
  <c r="J22" i="9"/>
  <c r="J23" i="9" s="1"/>
  <c r="J24" i="9" s="1"/>
  <c r="C21" i="9" s="1"/>
  <c r="J17" i="9"/>
  <c r="J18" i="9" s="1"/>
  <c r="J19" i="9" s="1"/>
  <c r="C17" i="9" s="1"/>
  <c r="G3" i="11" l="1"/>
  <c r="C16" i="9" s="1"/>
  <c r="C35" i="9" s="1"/>
  <c r="C6" i="11"/>
  <c r="G5" i="11" s="1"/>
  <c r="G4" i="11"/>
  <c r="C9" i="5"/>
  <c r="C16" i="5" s="1"/>
  <c r="AB8" i="5"/>
  <c r="C17" i="5"/>
  <c r="C9" i="9"/>
  <c r="C20" i="9"/>
  <c r="C24" i="9" s="1"/>
  <c r="C27" i="9" s="1"/>
  <c r="C19" i="9"/>
  <c r="C38" i="9"/>
  <c r="C40" i="9" s="1"/>
  <c r="AL8" i="5" l="1"/>
  <c r="C23" i="9"/>
  <c r="C18" i="5"/>
  <c r="C19" i="5" s="1"/>
  <c r="C28" i="9"/>
  <c r="C30" i="9" s="1"/>
  <c r="C32" i="9" s="1"/>
  <c r="C43" i="9" l="1"/>
  <c r="C11" i="5" s="1"/>
  <c r="D2" i="5"/>
  <c r="AB11" i="5" l="1"/>
  <c r="E2" i="5"/>
  <c r="D8" i="5"/>
  <c r="D9" i="5" s="1"/>
  <c r="D17" i="5"/>
  <c r="AQ17" i="5" s="1"/>
  <c r="D10" i="5" l="1"/>
  <c r="D16" i="5"/>
  <c r="F2" i="5"/>
  <c r="E8" i="5"/>
  <c r="E9" i="5" s="1"/>
  <c r="E16" i="5" s="1"/>
  <c r="E18" i="5" s="1"/>
  <c r="D18" i="5" l="1"/>
  <c r="D19" i="5" s="1"/>
  <c r="E19" i="5" s="1"/>
  <c r="G2" i="5"/>
  <c r="F8" i="5"/>
  <c r="F9" i="5" s="1"/>
  <c r="F16" i="5" s="1"/>
  <c r="F18" i="5" s="1"/>
  <c r="AB9" i="5"/>
  <c r="C10" i="5"/>
  <c r="E10" i="5"/>
  <c r="E12" i="5" s="1"/>
  <c r="F19" i="5" l="1"/>
  <c r="F10" i="5"/>
  <c r="F12" i="5" s="1"/>
  <c r="C13" i="5"/>
  <c r="C12" i="5"/>
  <c r="H2" i="5"/>
  <c r="G8" i="5"/>
  <c r="G9" i="5" s="1"/>
  <c r="AB10" i="5"/>
  <c r="AL9" i="5"/>
  <c r="G16" i="5" l="1"/>
  <c r="G10" i="5"/>
  <c r="G12" i="5" s="1"/>
  <c r="I2" i="5"/>
  <c r="H8" i="5"/>
  <c r="H9" i="5" s="1"/>
  <c r="AL10" i="5"/>
  <c r="AL16" i="5"/>
  <c r="AL18" i="5" s="1"/>
  <c r="AC11" i="5"/>
  <c r="G18" i="5" l="1"/>
  <c r="G19" i="5" s="1"/>
  <c r="H16" i="5"/>
  <c r="H18" i="5" s="1"/>
  <c r="H19" i="5" s="1"/>
  <c r="H10" i="5"/>
  <c r="H12" i="5" s="1"/>
  <c r="J2" i="5"/>
  <c r="I8" i="5"/>
  <c r="I9" i="5" s="1"/>
  <c r="D11" i="5"/>
  <c r="D12" i="5" s="1"/>
  <c r="K2" i="5" l="1"/>
  <c r="J8" i="5"/>
  <c r="J9" i="5" s="1"/>
  <c r="I16" i="5"/>
  <c r="I18" i="5" s="1"/>
  <c r="I19" i="5" s="1"/>
  <c r="I10" i="5"/>
  <c r="I12" i="5" s="1"/>
  <c r="D13" i="5"/>
  <c r="E13" i="5" s="1"/>
  <c r="J16" i="5" l="1"/>
  <c r="J18" i="5" s="1"/>
  <c r="J19" i="5" s="1"/>
  <c r="J10" i="5"/>
  <c r="J12" i="5" s="1"/>
  <c r="L2" i="5"/>
  <c r="K8" i="5"/>
  <c r="K9" i="5" s="1"/>
  <c r="F13" i="5"/>
  <c r="G13" i="5" s="1"/>
  <c r="H13" i="5" s="1"/>
  <c r="I13" i="5" s="1"/>
  <c r="J13" i="5" l="1"/>
  <c r="K16" i="5"/>
  <c r="K18" i="5" s="1"/>
  <c r="K19" i="5" s="1"/>
  <c r="K10" i="5"/>
  <c r="K12" i="5" s="1"/>
  <c r="M2" i="5"/>
  <c r="L8" i="5"/>
  <c r="L9" i="5" s="1"/>
  <c r="N2" i="5" l="1"/>
  <c r="M8" i="5"/>
  <c r="M9" i="5" s="1"/>
  <c r="K13" i="5"/>
  <c r="L16" i="5"/>
  <c r="L18" i="5" s="1"/>
  <c r="L19" i="5" s="1"/>
  <c r="L10" i="5"/>
  <c r="L12" i="5" s="1"/>
  <c r="M16" i="5" l="1"/>
  <c r="M18" i="5" s="1"/>
  <c r="M19" i="5" s="1"/>
  <c r="M10" i="5"/>
  <c r="M12" i="5" s="1"/>
  <c r="O2" i="5"/>
  <c r="N8" i="5"/>
  <c r="N9" i="5" s="1"/>
  <c r="L13" i="5"/>
  <c r="M13" i="5" l="1"/>
  <c r="P2" i="5"/>
  <c r="O8" i="5"/>
  <c r="O9" i="5" s="1"/>
  <c r="N10" i="5"/>
  <c r="N16" i="5"/>
  <c r="N18" i="5" s="1"/>
  <c r="N19" i="5" s="1"/>
  <c r="N13" i="5" l="1"/>
  <c r="N12" i="5"/>
  <c r="O16" i="5"/>
  <c r="O18" i="5" s="1"/>
  <c r="O19" i="5" s="1"/>
  <c r="O10" i="5"/>
  <c r="Q2" i="5"/>
  <c r="P8" i="5"/>
  <c r="P9" i="5" s="1"/>
  <c r="O13" i="5" l="1"/>
  <c r="O12" i="5"/>
  <c r="P16" i="5"/>
  <c r="P18" i="5" s="1"/>
  <c r="P19" i="5" s="1"/>
  <c r="P10" i="5"/>
  <c r="R2" i="5"/>
  <c r="Q8" i="5"/>
  <c r="Q9" i="5" s="1"/>
  <c r="P13" i="5" l="1"/>
  <c r="P12" i="5"/>
  <c r="Q10" i="5"/>
  <c r="Q16" i="5"/>
  <c r="Q18" i="5" s="1"/>
  <c r="Q19" i="5" s="1"/>
  <c r="S2" i="5"/>
  <c r="R8" i="5"/>
  <c r="R9" i="5" s="1"/>
  <c r="Q13" i="5" l="1"/>
  <c r="Q12" i="5"/>
  <c r="R16" i="5"/>
  <c r="R18" i="5" s="1"/>
  <c r="R19" i="5" s="1"/>
  <c r="R10" i="5"/>
  <c r="T2" i="5"/>
  <c r="S8" i="5"/>
  <c r="S9" i="5" s="1"/>
  <c r="R13" i="5" l="1"/>
  <c r="R12" i="5"/>
  <c r="U2" i="5"/>
  <c r="T8" i="5"/>
  <c r="T9" i="5" s="1"/>
  <c r="S16" i="5"/>
  <c r="S18" i="5" s="1"/>
  <c r="S19" i="5" s="1"/>
  <c r="S10" i="5"/>
  <c r="S13" i="5" l="1"/>
  <c r="S12" i="5"/>
  <c r="V2" i="5"/>
  <c r="U8" i="5"/>
  <c r="U9" i="5" s="1"/>
  <c r="T16" i="5"/>
  <c r="T18" i="5" s="1"/>
  <c r="T19" i="5" s="1"/>
  <c r="T10" i="5"/>
  <c r="T13" i="5" l="1"/>
  <c r="T12" i="5"/>
  <c r="U10" i="5"/>
  <c r="U16" i="5"/>
  <c r="U18" i="5" s="1"/>
  <c r="U19" i="5" s="1"/>
  <c r="W2" i="5"/>
  <c r="V8" i="5"/>
  <c r="V9" i="5" s="1"/>
  <c r="U13" i="5" l="1"/>
  <c r="U12" i="5"/>
  <c r="V16" i="5"/>
  <c r="V18" i="5" s="1"/>
  <c r="V19" i="5" s="1"/>
  <c r="V10" i="5"/>
  <c r="X2" i="5"/>
  <c r="W8" i="5"/>
  <c r="W9" i="5" s="1"/>
  <c r="V13" i="5" l="1"/>
  <c r="V12" i="5"/>
  <c r="W16" i="5"/>
  <c r="W18" i="5" s="1"/>
  <c r="W19" i="5" s="1"/>
  <c r="W10" i="5"/>
  <c r="Y2" i="5"/>
  <c r="X8" i="5"/>
  <c r="X9" i="5" s="1"/>
  <c r="W13" i="5" l="1"/>
  <c r="W12" i="5"/>
  <c r="Z2" i="5"/>
  <c r="Y8" i="5"/>
  <c r="Y9" i="5" s="1"/>
  <c r="X10" i="5"/>
  <c r="X16" i="5"/>
  <c r="X18" i="5" s="1"/>
  <c r="X19" i="5" s="1"/>
  <c r="X13" i="5" l="1"/>
  <c r="X12" i="5"/>
  <c r="Y16" i="5"/>
  <c r="Y18" i="5" s="1"/>
  <c r="Y19" i="5" s="1"/>
  <c r="Y10" i="5"/>
  <c r="AA2" i="5"/>
  <c r="Z8" i="5"/>
  <c r="Z9" i="5" s="1"/>
  <c r="Y13" i="5" l="1"/>
  <c r="Y12" i="5"/>
  <c r="Z10" i="5"/>
  <c r="Z12" i="5" s="1"/>
  <c r="Z16" i="5"/>
  <c r="Z18" i="5" s="1"/>
  <c r="Z19" i="5" s="1"/>
  <c r="AB2" i="5"/>
  <c r="AA8" i="5"/>
  <c r="AA9" i="5" s="1"/>
  <c r="Z13" i="5" l="1"/>
  <c r="AA10" i="5"/>
  <c r="AA12" i="5" s="1"/>
  <c r="AA16" i="5"/>
  <c r="AC2" i="5"/>
  <c r="AB17" i="5"/>
  <c r="AB16" i="5"/>
  <c r="AA13" i="5"/>
  <c r="AA18" i="5" l="1"/>
  <c r="AA19" i="5" s="1"/>
  <c r="AO19" i="5" s="1"/>
  <c r="AQ16" i="5"/>
  <c r="AB13" i="5"/>
  <c r="AO17" i="5"/>
  <c r="AO18" i="5" s="1"/>
  <c r="AD2" i="5"/>
  <c r="AC17" i="5"/>
  <c r="AC8" i="5"/>
  <c r="AC9" i="5" s="1"/>
  <c r="AB18" i="5"/>
  <c r="AB19" i="5" s="1"/>
  <c r="AC10" i="5" l="1"/>
  <c r="AC13" i="5" s="1"/>
  <c r="AC16" i="5"/>
  <c r="AC18" i="5" s="1"/>
  <c r="AC19" i="5" s="1"/>
  <c r="AE2" i="5"/>
  <c r="AD8" i="5"/>
  <c r="AD9" i="5" s="1"/>
  <c r="AD10" i="5" l="1"/>
  <c r="AD13" i="5" s="1"/>
  <c r="AD16" i="5"/>
  <c r="AD18" i="5" s="1"/>
  <c r="AD19" i="5" s="1"/>
  <c r="AF2" i="5"/>
  <c r="AE8" i="5"/>
  <c r="AE9" i="5" s="1"/>
  <c r="AG2" i="5" l="1"/>
  <c r="AF8" i="5"/>
  <c r="AF9" i="5" s="1"/>
  <c r="AE10" i="5"/>
  <c r="AE13" i="5" s="1"/>
  <c r="AE16" i="5"/>
  <c r="AE18" i="5" s="1"/>
  <c r="AE19" i="5" s="1"/>
  <c r="AF10" i="5" l="1"/>
  <c r="AF16" i="5"/>
  <c r="AF18" i="5" s="1"/>
  <c r="AF19" i="5" s="1"/>
  <c r="AF13" i="5"/>
  <c r="AH2" i="5"/>
  <c r="AG8" i="5"/>
  <c r="AG9" i="5" s="1"/>
  <c r="AI2" i="5" l="1"/>
  <c r="AH8" i="5"/>
  <c r="AH9" i="5" s="1"/>
  <c r="AG16" i="5"/>
  <c r="AG18" i="5" s="1"/>
  <c r="AG19" i="5" s="1"/>
  <c r="AG10" i="5"/>
  <c r="AG13" i="5" s="1"/>
  <c r="AH10" i="5" l="1"/>
  <c r="AH13" i="5" s="1"/>
  <c r="AH16" i="5"/>
  <c r="AH18" i="5" s="1"/>
  <c r="AH19" i="5" s="1"/>
  <c r="AJ2" i="5"/>
  <c r="AI8" i="5"/>
  <c r="AI9" i="5" s="1"/>
  <c r="AI16" i="5" l="1"/>
  <c r="AI18" i="5" s="1"/>
  <c r="AI19" i="5" s="1"/>
  <c r="AI10" i="5"/>
  <c r="AI13" i="5" s="1"/>
  <c r="AK2" i="5"/>
  <c r="AK8" i="5" s="1"/>
  <c r="AK9" i="5" s="1"/>
  <c r="AJ8" i="5"/>
  <c r="AJ9" i="5" s="1"/>
  <c r="AJ10" i="5" l="1"/>
  <c r="AJ13" i="5" s="1"/>
  <c r="AJ16" i="5"/>
  <c r="AJ18" i="5" s="1"/>
  <c r="AJ19" i="5" s="1"/>
  <c r="AK16" i="5"/>
  <c r="AK18" i="5" s="1"/>
  <c r="AK10" i="5"/>
  <c r="AK19" i="5" l="1"/>
  <c r="AL19" i="5" s="1"/>
  <c r="AK13" i="5"/>
  <c r="AL13" i="5" s="1"/>
</calcChain>
</file>

<file path=xl/sharedStrings.xml><?xml version="1.0" encoding="utf-8"?>
<sst xmlns="http://schemas.openxmlformats.org/spreadsheetml/2006/main" count="210" uniqueCount="155">
  <si>
    <t>tons CO2e</t>
  </si>
  <si>
    <t>Year</t>
  </si>
  <si>
    <t>kWh/m^2/year</t>
  </si>
  <si>
    <t>Performance Ratio</t>
  </si>
  <si>
    <t>Efficiency</t>
  </si>
  <si>
    <t>Energy production of 1 kW (daily)</t>
  </si>
  <si>
    <t>kWh/day</t>
  </si>
  <si>
    <t>per year</t>
  </si>
  <si>
    <t>kWh/year</t>
  </si>
  <si>
    <t>g CO2e / kWh</t>
  </si>
  <si>
    <t>Irradiance</t>
  </si>
  <si>
    <t>Output</t>
  </si>
  <si>
    <t>Lifetime</t>
  </si>
  <si>
    <t>years</t>
  </si>
  <si>
    <t>Total output</t>
  </si>
  <si>
    <t>kWh/m^2</t>
  </si>
  <si>
    <t>Emissions</t>
  </si>
  <si>
    <t>g CO2e / m^2</t>
  </si>
  <si>
    <t>PV LCA</t>
  </si>
  <si>
    <t>kg CO2e / m^2</t>
  </si>
  <si>
    <t>kg CO2e</t>
  </si>
  <si>
    <t>Net</t>
  </si>
  <si>
    <t>solarreviews</t>
  </si>
  <si>
    <t>MW</t>
  </si>
  <si>
    <t>m^2</t>
  </si>
  <si>
    <t>m</t>
  </si>
  <si>
    <t>Volume</t>
  </si>
  <si>
    <t>m^3</t>
  </si>
  <si>
    <t>PV panels per canopy</t>
  </si>
  <si>
    <t>Area per panel</t>
  </si>
  <si>
    <t>Area of PV required</t>
  </si>
  <si>
    <t>CO2e per kg steel</t>
  </si>
  <si>
    <t>Area</t>
  </si>
  <si>
    <t>in^2</t>
  </si>
  <si>
    <t>cm^2</t>
  </si>
  <si>
    <t>Density of steel</t>
  </si>
  <si>
    <t>kg/m^3</t>
  </si>
  <si>
    <t>I-beams: 1 foot by 1 foot, 0.5 inch thickness</t>
  </si>
  <si>
    <t>I beams needed</t>
  </si>
  <si>
    <t>I beams area</t>
  </si>
  <si>
    <t>I beams length</t>
  </si>
  <si>
    <t>Volume for I beams</t>
  </si>
  <si>
    <t>Volume for support beams</t>
  </si>
  <si>
    <t>Total mass of steel</t>
  </si>
  <si>
    <t>kg</t>
  </si>
  <si>
    <t>kg CO2e / kg</t>
  </si>
  <si>
    <t>Emissions for steel</t>
  </si>
  <si>
    <t>Grid beams needed</t>
  </si>
  <si>
    <t>(12 beams between I beams to connect panels</t>
  </si>
  <si>
    <t>Grid beams area</t>
  </si>
  <si>
    <t>Grid beams length</t>
  </si>
  <si>
    <t>Volume for grid beams</t>
  </si>
  <si>
    <t>GHG Emissions Factor (gCO2/kWh)</t>
  </si>
  <si>
    <t>California (CAMX)</t>
  </si>
  <si>
    <t>Total Energy (MWh)</t>
  </si>
  <si>
    <t>Emissions reduced (tons)</t>
  </si>
  <si>
    <t>PV Canopy</t>
  </si>
  <si>
    <t>Emissions produced (tons)</t>
  </si>
  <si>
    <t>Grid beams: 4 in sq. 0.25 in thickness</t>
  </si>
  <si>
    <t>Support beam: 10 in square with 0.5 inch thickness</t>
  </si>
  <si>
    <t>Material and Transportation</t>
  </si>
  <si>
    <t>Assume one lane-km</t>
  </si>
  <si>
    <t>kg CO2e/m^3</t>
  </si>
  <si>
    <t>Protective concrete area</t>
  </si>
  <si>
    <t>Concrete height</t>
  </si>
  <si>
    <t>Square base of 0.5 m</t>
  </si>
  <si>
    <t>Concrete blocks needed</t>
  </si>
  <si>
    <t>Volume concrete needed</t>
  </si>
  <si>
    <t>CO2e per m^3 concrete</t>
  </si>
  <si>
    <t>Emissions for concrete</t>
  </si>
  <si>
    <t>Cement Concrete (PC335 SCM0) for Minor Concrete: 2012 Grid Mix</t>
  </si>
  <si>
    <t>Thickness: 0.175m</t>
  </si>
  <si>
    <t>3.7m lane width</t>
  </si>
  <si>
    <t>Replace 1</t>
  </si>
  <si>
    <t>Replace 2</t>
  </si>
  <si>
    <t>Installed Capacity</t>
  </si>
  <si>
    <t>Initial $/ton</t>
  </si>
  <si>
    <t>Net Emissions</t>
  </si>
  <si>
    <t>Summed Net</t>
  </si>
  <si>
    <t>Address</t>
  </si>
  <si>
    <t>Parking spaces (double row)</t>
  </si>
  <si>
    <t>Parking spaces (single row)</t>
  </si>
  <si>
    <t>600 A St, Davis</t>
  </si>
  <si>
    <t>25 N Cottonwood St, Woodland</t>
  </si>
  <si>
    <t>137 N Cottonwood St, Woodland</t>
  </si>
  <si>
    <t>500 Jefferson Blvd, West Sac</t>
  </si>
  <si>
    <t>Yolo County Health and Human Services Agency</t>
  </si>
  <si>
    <t>140 Tony Diaz Dr, Woodland</t>
  </si>
  <si>
    <t>19, 10</t>
  </si>
  <si>
    <t>6?</t>
  </si>
  <si>
    <t>292 Beamer St, Woodland</t>
  </si>
  <si>
    <t>Volume of steel needed (total)</t>
  </si>
  <si>
    <t>Supporting Steel</t>
  </si>
  <si>
    <t>17x2</t>
  </si>
  <si>
    <t>21x4</t>
  </si>
  <si>
    <t>10x2, 9, 8</t>
  </si>
  <si>
    <t>18, 15, 10</t>
  </si>
  <si>
    <t>9x3, 6, 11, 16</t>
  </si>
  <si>
    <t>Concrete</t>
  </si>
  <si>
    <t>Solar PV</t>
  </si>
  <si>
    <t>1 kW = 7 m^2</t>
  </si>
  <si>
    <t>Canopies Needed (1 per 3 spaces)</t>
  </si>
  <si>
    <t>6, 5, 3 +1OH</t>
  </si>
  <si>
    <t>7x4</t>
  </si>
  <si>
    <t>(3 +1OH) x2, 3, 2 +2OH</t>
  </si>
  <si>
    <t>(3) x3, 2, 3 +2OH, 5 +1OH</t>
  </si>
  <si>
    <t>Total OH</t>
  </si>
  <si>
    <t>Canopies w/o OH</t>
  </si>
  <si>
    <t>2 x 2, 3 x 8, 5 x 5, 6 x 1, 7 x 4</t>
  </si>
  <si>
    <t>Parking spaces</t>
  </si>
  <si>
    <t>Support beams</t>
  </si>
  <si>
    <t>I beams</t>
  </si>
  <si>
    <t>Grid beams</t>
  </si>
  <si>
    <t>Quantity</t>
  </si>
  <si>
    <t>How many canopies are combined?</t>
  </si>
  <si>
    <t>Total Needed</t>
  </si>
  <si>
    <t>Support</t>
  </si>
  <si>
    <t>I Beams</t>
  </si>
  <si>
    <t>Support beams needed</t>
  </si>
  <si>
    <t>Support beam area</t>
  </si>
  <si>
    <t>Support beam height</t>
  </si>
  <si>
    <t>Total canopies</t>
  </si>
  <si>
    <t>Equivalent to 4 canopies</t>
  </si>
  <si>
    <t>Plus OH</t>
  </si>
  <si>
    <t>canopy equivalents</t>
  </si>
  <si>
    <t>Total covered by PV</t>
  </si>
  <si>
    <t>Price of installation</t>
  </si>
  <si>
    <t>$/W</t>
  </si>
  <si>
    <t>Degradation rate (annual)</t>
  </si>
  <si>
    <t>Emissions for PV</t>
  </si>
  <si>
    <t>Cost</t>
  </si>
  <si>
    <t>Profits</t>
  </si>
  <si>
    <t>Costs</t>
  </si>
  <si>
    <t>Total Installation Cost</t>
  </si>
  <si>
    <t>Net CO2e (tons)</t>
  </si>
  <si>
    <t>High price $/ton</t>
  </si>
  <si>
    <t>1000 Main St, Woodland</t>
  </si>
  <si>
    <t>9, 12, 18</t>
  </si>
  <si>
    <t>3, 4, 6</t>
  </si>
  <si>
    <t>Yolo County Traffic Division</t>
  </si>
  <si>
    <t>VCE Price of Electricity</t>
  </si>
  <si>
    <t>Total Emissions Produced</t>
  </si>
  <si>
    <t>Unit Energy Produced (kWh/kW)</t>
  </si>
  <si>
    <t>Elect. Sales</t>
  </si>
  <si>
    <t>Primary building</t>
  </si>
  <si>
    <t>Social Services Department</t>
  </si>
  <si>
    <t>Yolo County Juvenile and Detention Centers</t>
  </si>
  <si>
    <t>Yolo County Department of Community Services</t>
  </si>
  <si>
    <t>County of Yolo Health and Human Services Agency</t>
  </si>
  <si>
    <t>Summed Net Emissions</t>
  </si>
  <si>
    <t>Profit</t>
  </si>
  <si>
    <t>Spent</t>
  </si>
  <si>
    <t>Summed net (thousand USD)</t>
  </si>
  <si>
    <t>OH: Overhang</t>
  </si>
  <si>
    <t>(5 plus two space OH)x2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</si>
</sst>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.0000_);_(&quot;$&quot;* \(#,##0.00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44" fontId="0" fillId="0" borderId="0" xfId="0" applyNumberFormat="1"/>
    <xf numFmtId="0" fontId="5" fillId="0" borderId="0" xfId="0" applyFont="1" applyAlignment="1">
      <alignment horizontal="center" wrapText="1"/>
    </xf>
    <xf numFmtId="164" fontId="4" fillId="0" borderId="0" xfId="0" applyNumberFormat="1" applyFont="1"/>
    <xf numFmtId="0" fontId="6" fillId="0" borderId="0" xfId="0" applyFont="1" applyAlignment="1">
      <alignment horizontal="center" wrapText="1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0" fillId="0" borderId="0" xfId="0" applyNumberFormat="1" applyBorder="1"/>
    <xf numFmtId="0" fontId="2" fillId="0" borderId="2" xfId="0" applyFont="1" applyBorder="1"/>
    <xf numFmtId="0" fontId="2" fillId="0" borderId="0" xfId="0" applyFont="1"/>
    <xf numFmtId="44" fontId="2" fillId="0" borderId="0" xfId="0" applyNumberFormat="1" applyFont="1"/>
    <xf numFmtId="0" fontId="7" fillId="0" borderId="2" xfId="0" applyFont="1" applyBorder="1" applyAlignment="1"/>
    <xf numFmtId="0" fontId="8" fillId="0" borderId="0" xfId="0" applyFont="1"/>
    <xf numFmtId="165" fontId="0" fillId="0" borderId="0" xfId="1" applyNumberFormat="1" applyFont="1"/>
    <xf numFmtId="44" fontId="0" fillId="0" borderId="0" xfId="1" applyNumberFormat="1" applyFont="1"/>
    <xf numFmtId="164" fontId="0" fillId="0" borderId="7" xfId="0" applyNumberFormat="1" applyBorder="1"/>
    <xf numFmtId="164" fontId="2" fillId="0" borderId="0" xfId="0" applyNumberFormat="1" applyFont="1"/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Cost and Emissions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65120593692018E-2"/>
          <c:y val="0.10417145890471556"/>
          <c:w val="0.90042671614100189"/>
          <c:h val="0.84224630629036534"/>
        </c:manualLayout>
      </c:layout>
      <c:lineChart>
        <c:grouping val="standard"/>
        <c:varyColors val="0"/>
        <c:ser>
          <c:idx val="0"/>
          <c:order val="0"/>
          <c:tx>
            <c:v>Emissions (tonnes CO2e)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'Emissions + Cost'!$C$2:$AA$2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'Emissions + Cost'!$C$13:$AA$13</c:f>
              <c:numCache>
                <c:formatCode>0.0</c:formatCode>
                <c:ptCount val="25"/>
                <c:pt idx="0">
                  <c:v>1009.8490104142861</c:v>
                </c:pt>
                <c:pt idx="1">
                  <c:v>1847.6678343371434</c:v>
                </c:pt>
                <c:pt idx="2">
                  <c:v>1503.5959754227461</c:v>
                </c:pt>
                <c:pt idx="3">
                  <c:v>1147.7283743802445</c:v>
                </c:pt>
                <c:pt idx="4">
                  <c:v>806.63429171591588</c:v>
                </c:pt>
                <c:pt idx="5">
                  <c:v>546.19444689363718</c:v>
                </c:pt>
                <c:pt idx="6">
                  <c:v>300.17581465313697</c:v>
                </c:pt>
                <c:pt idx="7">
                  <c:v>85.446834372411217</c:v>
                </c:pt>
                <c:pt idx="8">
                  <c:v>-94.788991154888237</c:v>
                </c:pt>
                <c:pt idx="9">
                  <c:v>-262.38699429716587</c:v>
                </c:pt>
                <c:pt idx="10">
                  <c:v>-447.05398824302836</c:v>
                </c:pt>
                <c:pt idx="11">
                  <c:v>-646.72555810696667</c:v>
                </c:pt>
                <c:pt idx="12">
                  <c:v>-839.08661037621459</c:v>
                </c:pt>
                <c:pt idx="13">
                  <c:v>-1023.6066590488856</c:v>
                </c:pt>
                <c:pt idx="14">
                  <c:v>-1199.0823099851259</c:v>
                </c:pt>
                <c:pt idx="15">
                  <c:v>-1360.8237849284849</c:v>
                </c:pt>
                <c:pt idx="16">
                  <c:v>-1506.3383301354145</c:v>
                </c:pt>
                <c:pt idx="17">
                  <c:v>-1642.8318695307114</c:v>
                </c:pt>
                <c:pt idx="18">
                  <c:v>-1774.1959195140723</c:v>
                </c:pt>
                <c:pt idx="19">
                  <c:v>-1905.4605215068177</c:v>
                </c:pt>
                <c:pt idx="20">
                  <c:v>-2032.8352947312869</c:v>
                </c:pt>
                <c:pt idx="21">
                  <c:v>-2156.4337180494731</c:v>
                </c:pt>
                <c:pt idx="22">
                  <c:v>-2275.9720523132983</c:v>
                </c:pt>
                <c:pt idx="23">
                  <c:v>-2392.5041736738081</c:v>
                </c:pt>
                <c:pt idx="24">
                  <c:v>-2508.794245176648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6-8D47-8B2D-8B89538FAD67}"/>
            </c:ext>
          </c:extLst>
        </c:ser>
        <c:ser>
          <c:idx val="1"/>
          <c:order val="1"/>
          <c:tx>
            <c:v>Cost (thousand USD)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'Emissions + Cost'!$C$2:$AA$2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'Emissions + Cost'!$C$20:$AA$20</c:f>
              <c:numCache>
                <c:formatCode>0.0</c:formatCode>
                <c:ptCount val="25"/>
                <c:pt idx="0">
                  <c:v>440.63314285714284</c:v>
                </c:pt>
                <c:pt idx="1">
                  <c:v>808.56771428571437</c:v>
                </c:pt>
                <c:pt idx="2">
                  <c:v>701.35397802197804</c:v>
                </c:pt>
                <c:pt idx="3">
                  <c:v>598.78450422654282</c:v>
                </c:pt>
                <c:pt idx="4">
                  <c:v>500.66064214188185</c:v>
                </c:pt>
                <c:pt idx="5">
                  <c:v>406.79215162721903</c:v>
                </c:pt>
                <c:pt idx="6">
                  <c:v>316.99685005007615</c:v>
                </c:pt>
                <c:pt idx="7">
                  <c:v>231.10027389826908</c:v>
                </c:pt>
                <c:pt idx="8">
                  <c:v>148.93535450235959</c:v>
                </c:pt>
                <c:pt idx="9">
                  <c:v>70.342107283716203</c:v>
                </c:pt>
                <c:pt idx="10">
                  <c:v>-4.832666032545589</c:v>
                </c:pt>
                <c:pt idx="11">
                  <c:v>-76.735662777350655</c:v>
                </c:pt>
                <c:pt idx="12">
                  <c:v>-145.50735278560944</c:v>
                </c:pt>
                <c:pt idx="13">
                  <c:v>-211.28224042648705</c:v>
                </c:pt>
                <c:pt idx="14">
                  <c:v>-274.18911568976984</c:v>
                </c:pt>
                <c:pt idx="15">
                  <c:v>-334.35129478254959</c:v>
                </c:pt>
                <c:pt idx="16">
                  <c:v>-391.8868506716945</c:v>
                </c:pt>
                <c:pt idx="17">
                  <c:v>-446.90883398959539</c:v>
                </c:pt>
                <c:pt idx="18">
                  <c:v>-499.52548470343504</c:v>
                </c:pt>
                <c:pt idx="19">
                  <c:v>-549.84043493169463</c:v>
                </c:pt>
                <c:pt idx="20">
                  <c:v>-597.95290327575935</c:v>
                </c:pt>
                <c:pt idx="21">
                  <c:v>-643.95788101928258</c:v>
                </c:pt>
                <c:pt idx="22">
                  <c:v>-687.94631053339492</c:v>
                </c:pt>
                <c:pt idx="23">
                  <c:v>-730.00525621186227</c:v>
                </c:pt>
                <c:pt idx="24">
                  <c:v>-770.21806824690293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6-8D47-8B2D-8B89538FA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2844160"/>
        <c:axId val="1812845792"/>
      </c:lineChart>
      <c:catAx>
        <c:axId val="181284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845792"/>
        <c:crosses val="autoZero"/>
        <c:auto val="1"/>
        <c:lblAlgn val="ctr"/>
        <c:lblOffset val="100"/>
        <c:noMultiLvlLbl val="0"/>
      </c:catAx>
      <c:valAx>
        <c:axId val="18128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84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47807985040831"/>
          <c:y val="0.11969764664248429"/>
          <c:w val="0.31624457657078581"/>
          <c:h val="0.12875829425816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3056201982848"/>
          <c:y val="8.1121076233183861E-2"/>
          <c:w val="0.82257982934319451"/>
          <c:h val="0.72032096324282346"/>
        </c:manualLayout>
      </c:layout>
      <c:lineChart>
        <c:grouping val="standard"/>
        <c:varyColors val="0"/>
        <c:ser>
          <c:idx val="0"/>
          <c:order val="0"/>
          <c:tx>
            <c:strRef>
              <c:f>'Emissions + Cost'!$B$4</c:f>
              <c:strCache>
                <c:ptCount val="1"/>
                <c:pt idx="0">
                  <c:v>California (CAMX)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'Emissions + Cost'!$C$4:$AA$4</c:f>
              <c:numCache>
                <c:formatCode>General</c:formatCode>
                <c:ptCount val="25"/>
                <c:pt idx="0">
                  <c:v>296.7</c:v>
                </c:pt>
                <c:pt idx="1">
                  <c:v>296.7</c:v>
                </c:pt>
                <c:pt idx="2" formatCode="0.0">
                  <c:v>296.70990487761907</c:v>
                </c:pt>
                <c:pt idx="3" formatCode="0.0">
                  <c:v>308.43972362254323</c:v>
                </c:pt>
                <c:pt idx="4" formatCode="0.0">
                  <c:v>297.14347275216664</c:v>
                </c:pt>
                <c:pt idx="5" formatCode="0.0">
                  <c:v>228.04517998102048</c:v>
                </c:pt>
                <c:pt idx="6" formatCode="0.0">
                  <c:v>216.52814261433704</c:v>
                </c:pt>
                <c:pt idx="7" formatCode="0.0">
                  <c:v>189.96842998451137</c:v>
                </c:pt>
                <c:pt idx="8" formatCode="0.0">
                  <c:v>160.28318809474865</c:v>
                </c:pt>
                <c:pt idx="9" formatCode="0.0">
                  <c:v>149.82474714358293</c:v>
                </c:pt>
                <c:pt idx="10" formatCode="0.0">
                  <c:v>165.95248481794692</c:v>
                </c:pt>
                <c:pt idx="11" formatCode="0.0">
                  <c:v>180.38586739194309</c:v>
                </c:pt>
                <c:pt idx="12" formatCode="0.0">
                  <c:v>174.70582108286189</c:v>
                </c:pt>
                <c:pt idx="13" formatCode="0.0">
                  <c:v>168.48065208437518</c:v>
                </c:pt>
                <c:pt idx="14" formatCode="0.0">
                  <c:v>161.08384915561237</c:v>
                </c:pt>
                <c:pt idx="15" formatCode="0.0">
                  <c:v>149.27866810481626</c:v>
                </c:pt>
                <c:pt idx="16" formatCode="0.0">
                  <c:v>135.03198877034654</c:v>
                </c:pt>
                <c:pt idx="17" formatCode="0.0">
                  <c:v>127.35297263332707</c:v>
                </c:pt>
                <c:pt idx="18" formatCode="0.0">
                  <c:v>123.24043488512514</c:v>
                </c:pt>
                <c:pt idx="19" formatCode="0.0">
                  <c:v>123.82750772694965</c:v>
                </c:pt>
                <c:pt idx="20" formatCode="0.0">
                  <c:v>120.82561085679373</c:v>
                </c:pt>
                <c:pt idx="21" formatCode="0.0">
                  <c:v>117.8984187820661</c:v>
                </c:pt>
                <c:pt idx="22" formatCode="0.0">
                  <c:v>114.66616246819925</c:v>
                </c:pt>
                <c:pt idx="23" formatCode="0.0">
                  <c:v>112.41401692472863</c:v>
                </c:pt>
                <c:pt idx="24" formatCode="0.0">
                  <c:v>112.81791013953298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8-6B49-A9A3-C5D59FA7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9126815"/>
        <c:axId val="1719282527"/>
      </c:lineChart>
      <c:catAx>
        <c:axId val="1719126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282527"/>
        <c:crosses val="autoZero"/>
        <c:auto val="1"/>
        <c:lblAlgn val="ctr"/>
        <c:lblOffset val="100"/>
        <c:tickLblSkip val="2"/>
        <c:noMultiLvlLbl val="0"/>
      </c:catAx>
      <c:valAx>
        <c:axId val="171928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Intensity (g CO2e / 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12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363788028520714"/>
          <c:y val="0.19338512058190035"/>
          <c:w val="0.3578146152783534"/>
          <c:h val="9.1944140390522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25</xdr:row>
      <xdr:rowOff>25400</xdr:rowOff>
    </xdr:from>
    <xdr:to>
      <xdr:col>11</xdr:col>
      <xdr:colOff>228600</xdr:colOff>
      <xdr:row>47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F56375-3E9E-2344-B914-9A8B92ADC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628650</xdr:colOff>
      <xdr:row>25</xdr:row>
      <xdr:rowOff>101600</xdr:rowOff>
    </xdr:from>
    <xdr:to>
      <xdr:col>17</xdr:col>
      <xdr:colOff>609600</xdr:colOff>
      <xdr:row>39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08EDDB-AC7B-2C48-83A0-4DD6EFE6ED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6E28-5877-4842-B890-704531BBA804}">
  <dimension ref="A2:AR23"/>
  <sheetViews>
    <sheetView workbookViewId="0">
      <selection activeCell="S35" sqref="S35"/>
    </sheetView>
  </sheetViews>
  <sheetFormatPr baseColWidth="10" defaultRowHeight="16" x14ac:dyDescent="0.2"/>
  <cols>
    <col min="2" max="2" width="27.83203125" customWidth="1"/>
    <col min="3" max="36" width="10.33203125" customWidth="1"/>
    <col min="40" max="40" width="15.83203125" customWidth="1"/>
    <col min="41" max="41" width="11.1640625" bestFit="1" customWidth="1"/>
    <col min="43" max="43" width="14" bestFit="1" customWidth="1"/>
    <col min="44" max="44" width="15.6640625" bestFit="1" customWidth="1"/>
  </cols>
  <sheetData>
    <row r="2" spans="1:44" x14ac:dyDescent="0.2">
      <c r="A2" s="35" t="s">
        <v>52</v>
      </c>
      <c r="B2" s="36"/>
      <c r="C2" s="28">
        <v>1</v>
      </c>
      <c r="D2" s="28">
        <f>C2+1</f>
        <v>2</v>
      </c>
      <c r="E2" s="28">
        <f t="shared" ref="E2:AK3" si="0">D2+1</f>
        <v>3</v>
      </c>
      <c r="F2" s="28">
        <f t="shared" si="0"/>
        <v>4</v>
      </c>
      <c r="G2" s="28">
        <f t="shared" si="0"/>
        <v>5</v>
      </c>
      <c r="H2" s="28">
        <f t="shared" si="0"/>
        <v>6</v>
      </c>
      <c r="I2" s="28">
        <f t="shared" si="0"/>
        <v>7</v>
      </c>
      <c r="J2" s="28">
        <f t="shared" si="0"/>
        <v>8</v>
      </c>
      <c r="K2" s="28">
        <f t="shared" si="0"/>
        <v>9</v>
      </c>
      <c r="L2" s="28">
        <f t="shared" si="0"/>
        <v>10</v>
      </c>
      <c r="M2" s="28">
        <f t="shared" si="0"/>
        <v>11</v>
      </c>
      <c r="N2" s="28">
        <f t="shared" si="0"/>
        <v>12</v>
      </c>
      <c r="O2" s="28">
        <f t="shared" si="0"/>
        <v>13</v>
      </c>
      <c r="P2" s="28">
        <f t="shared" si="0"/>
        <v>14</v>
      </c>
      <c r="Q2" s="28">
        <f t="shared" si="0"/>
        <v>15</v>
      </c>
      <c r="R2" s="28">
        <f t="shared" si="0"/>
        <v>16</v>
      </c>
      <c r="S2" s="28">
        <f t="shared" si="0"/>
        <v>17</v>
      </c>
      <c r="T2" s="28">
        <f t="shared" si="0"/>
        <v>18</v>
      </c>
      <c r="U2" s="28">
        <f t="shared" si="0"/>
        <v>19</v>
      </c>
      <c r="V2" s="28">
        <f t="shared" si="0"/>
        <v>20</v>
      </c>
      <c r="W2" s="28">
        <f t="shared" si="0"/>
        <v>21</v>
      </c>
      <c r="X2" s="28">
        <f t="shared" si="0"/>
        <v>22</v>
      </c>
      <c r="Y2" s="28">
        <f t="shared" si="0"/>
        <v>23</v>
      </c>
      <c r="Z2" s="28">
        <f t="shared" si="0"/>
        <v>24</v>
      </c>
      <c r="AA2" s="28">
        <f t="shared" si="0"/>
        <v>25</v>
      </c>
      <c r="AB2" s="28">
        <f t="shared" si="0"/>
        <v>26</v>
      </c>
      <c r="AC2" s="28">
        <f t="shared" si="0"/>
        <v>27</v>
      </c>
      <c r="AD2" s="28">
        <f t="shared" si="0"/>
        <v>28</v>
      </c>
      <c r="AE2" s="28">
        <f t="shared" si="0"/>
        <v>29</v>
      </c>
      <c r="AF2" s="28">
        <f t="shared" si="0"/>
        <v>30</v>
      </c>
      <c r="AG2" s="28">
        <f t="shared" si="0"/>
        <v>31</v>
      </c>
      <c r="AH2" s="28">
        <f t="shared" si="0"/>
        <v>32</v>
      </c>
      <c r="AI2" s="28">
        <f t="shared" si="0"/>
        <v>33</v>
      </c>
      <c r="AJ2" s="28">
        <f t="shared" si="0"/>
        <v>34</v>
      </c>
      <c r="AK2" s="28">
        <f t="shared" si="0"/>
        <v>35</v>
      </c>
      <c r="AL2" s="9">
        <v>36</v>
      </c>
    </row>
    <row r="3" spans="1:44" x14ac:dyDescent="0.2">
      <c r="A3" s="10"/>
      <c r="B3" s="11" t="s">
        <v>1</v>
      </c>
      <c r="C3" s="12">
        <v>2020</v>
      </c>
      <c r="D3" s="12">
        <f>C3+1</f>
        <v>2021</v>
      </c>
      <c r="E3" s="12">
        <f t="shared" si="0"/>
        <v>2022</v>
      </c>
      <c r="F3" s="12">
        <f t="shared" si="0"/>
        <v>2023</v>
      </c>
      <c r="G3" s="12">
        <f t="shared" si="0"/>
        <v>2024</v>
      </c>
      <c r="H3" s="12">
        <f t="shared" si="0"/>
        <v>2025</v>
      </c>
      <c r="I3" s="12">
        <f t="shared" si="0"/>
        <v>2026</v>
      </c>
      <c r="J3" s="12">
        <f t="shared" si="0"/>
        <v>2027</v>
      </c>
      <c r="K3" s="12">
        <f t="shared" si="0"/>
        <v>2028</v>
      </c>
      <c r="L3" s="12">
        <f t="shared" si="0"/>
        <v>2029</v>
      </c>
      <c r="M3" s="12">
        <f t="shared" si="0"/>
        <v>2030</v>
      </c>
      <c r="N3" s="12">
        <f t="shared" si="0"/>
        <v>2031</v>
      </c>
      <c r="O3" s="12">
        <f t="shared" si="0"/>
        <v>2032</v>
      </c>
      <c r="P3" s="12">
        <f t="shared" si="0"/>
        <v>2033</v>
      </c>
      <c r="Q3" s="12">
        <f t="shared" si="0"/>
        <v>2034</v>
      </c>
      <c r="R3" s="12">
        <f t="shared" si="0"/>
        <v>2035</v>
      </c>
      <c r="S3" s="12">
        <f t="shared" si="0"/>
        <v>2036</v>
      </c>
      <c r="T3" s="12">
        <f t="shared" si="0"/>
        <v>2037</v>
      </c>
      <c r="U3" s="12">
        <f t="shared" si="0"/>
        <v>2038</v>
      </c>
      <c r="V3" s="12">
        <f t="shared" si="0"/>
        <v>2039</v>
      </c>
      <c r="W3" s="12">
        <f t="shared" si="0"/>
        <v>2040</v>
      </c>
      <c r="X3" s="12">
        <f t="shared" si="0"/>
        <v>2041</v>
      </c>
      <c r="Y3" s="12">
        <f t="shared" si="0"/>
        <v>2042</v>
      </c>
      <c r="Z3" s="12">
        <f t="shared" si="0"/>
        <v>2043</v>
      </c>
      <c r="AA3" s="12">
        <f t="shared" si="0"/>
        <v>2044</v>
      </c>
      <c r="AB3" s="12">
        <f t="shared" si="0"/>
        <v>2045</v>
      </c>
      <c r="AC3" s="12">
        <f t="shared" si="0"/>
        <v>2046</v>
      </c>
      <c r="AD3" s="12">
        <f t="shared" si="0"/>
        <v>2047</v>
      </c>
      <c r="AE3" s="12">
        <f t="shared" si="0"/>
        <v>2048</v>
      </c>
      <c r="AF3" s="12">
        <f t="shared" si="0"/>
        <v>2049</v>
      </c>
      <c r="AG3" s="12">
        <f t="shared" si="0"/>
        <v>2050</v>
      </c>
      <c r="AH3" s="12">
        <f t="shared" si="0"/>
        <v>2051</v>
      </c>
      <c r="AI3" s="12">
        <f t="shared" si="0"/>
        <v>2052</v>
      </c>
      <c r="AJ3" s="12">
        <f t="shared" si="0"/>
        <v>2053</v>
      </c>
      <c r="AK3" s="12">
        <f t="shared" si="0"/>
        <v>2054</v>
      </c>
      <c r="AL3" s="12">
        <f t="shared" ref="AL3" si="1">AK3+1</f>
        <v>2055</v>
      </c>
    </row>
    <row r="4" spans="1:44" x14ac:dyDescent="0.2">
      <c r="A4" s="10"/>
      <c r="B4" s="15" t="s">
        <v>53</v>
      </c>
      <c r="C4" s="16">
        <v>296.7</v>
      </c>
      <c r="D4" s="16">
        <v>296.7</v>
      </c>
      <c r="E4" s="17">
        <v>296.70990487761907</v>
      </c>
      <c r="F4" s="17">
        <v>308.43972362254323</v>
      </c>
      <c r="G4" s="17">
        <v>297.14347275216664</v>
      </c>
      <c r="H4" s="17">
        <v>228.04517998102048</v>
      </c>
      <c r="I4" s="17">
        <v>216.52814261433704</v>
      </c>
      <c r="J4" s="17">
        <v>189.96842998451137</v>
      </c>
      <c r="K4" s="17">
        <v>160.28318809474865</v>
      </c>
      <c r="L4" s="17">
        <v>149.82474714358293</v>
      </c>
      <c r="M4" s="17">
        <v>165.95248481794692</v>
      </c>
      <c r="N4" s="17">
        <v>180.38586739194309</v>
      </c>
      <c r="O4" s="17">
        <v>174.70582108286189</v>
      </c>
      <c r="P4" s="17">
        <v>168.48065208437518</v>
      </c>
      <c r="Q4" s="17">
        <v>161.08384915561237</v>
      </c>
      <c r="R4" s="17">
        <v>149.27866810481626</v>
      </c>
      <c r="S4" s="17">
        <v>135.03198877034654</v>
      </c>
      <c r="T4" s="17">
        <v>127.35297263332707</v>
      </c>
      <c r="U4" s="17">
        <v>123.24043488512514</v>
      </c>
      <c r="V4" s="17">
        <v>123.82750772694965</v>
      </c>
      <c r="W4" s="17">
        <v>120.82561085679373</v>
      </c>
      <c r="X4" s="17">
        <v>117.8984187820661</v>
      </c>
      <c r="Y4" s="17">
        <v>114.66616246819925</v>
      </c>
      <c r="Z4" s="17">
        <v>112.41401692472863</v>
      </c>
      <c r="AA4" s="17">
        <v>112.81791013953298</v>
      </c>
      <c r="AB4" s="17">
        <v>109.26305492203419</v>
      </c>
      <c r="AC4" s="17">
        <v>108.83296832887483</v>
      </c>
      <c r="AD4" s="17">
        <v>108.44009591805896</v>
      </c>
      <c r="AE4" s="17">
        <v>107.20652872167464</v>
      </c>
      <c r="AF4" s="17">
        <v>105.68886624481213</v>
      </c>
      <c r="AG4" s="17">
        <v>103.98157050390826</v>
      </c>
      <c r="AH4" s="17">
        <v>98.728173105864514</v>
      </c>
      <c r="AI4" s="17">
        <v>97.106936057716027</v>
      </c>
      <c r="AJ4" s="17">
        <v>96.324641732165063</v>
      </c>
      <c r="AK4" s="17">
        <v>96.691538653776874</v>
      </c>
      <c r="AL4" s="21">
        <v>94.818834262113739</v>
      </c>
    </row>
    <row r="5" spans="1:44" x14ac:dyDescent="0.2">
      <c r="A5" s="8"/>
      <c r="B5" s="11"/>
      <c r="C5" s="12"/>
      <c r="D5" s="1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9"/>
      <c r="AN5" s="2"/>
    </row>
    <row r="6" spans="1:44" x14ac:dyDescent="0.2">
      <c r="B6" s="3"/>
      <c r="C6" s="4"/>
      <c r="AO6" s="1"/>
      <c r="AP6" s="1"/>
    </row>
    <row r="7" spans="1:44" x14ac:dyDescent="0.2">
      <c r="A7" s="7"/>
      <c r="B7" s="23"/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25" t="s">
        <v>73</v>
      </c>
      <c r="AC7" s="25" t="s">
        <v>74</v>
      </c>
      <c r="AD7" s="25"/>
      <c r="AE7" s="25"/>
      <c r="AF7" s="8"/>
      <c r="AG7" s="8"/>
      <c r="AH7" s="8"/>
      <c r="AI7" s="8"/>
      <c r="AJ7" s="8"/>
      <c r="AK7" s="8"/>
      <c r="AL7" s="9"/>
      <c r="AO7" s="2"/>
      <c r="AP7" s="2"/>
    </row>
    <row r="8" spans="1:44" ht="31" x14ac:dyDescent="0.2">
      <c r="A8" s="10" t="s">
        <v>56</v>
      </c>
      <c r="B8" s="13" t="s">
        <v>142</v>
      </c>
      <c r="C8" s="20">
        <f>LCI!C12</f>
        <v>1642.5</v>
      </c>
      <c r="D8" s="12">
        <f>$C$8*(1-(D2-1)*0.005)</f>
        <v>1634.2874999999999</v>
      </c>
      <c r="E8" s="12">
        <f t="shared" ref="E8:AA8" si="2">$C$8*(1-(E2-1)*0.005)</f>
        <v>1626.075</v>
      </c>
      <c r="F8" s="12">
        <f t="shared" si="2"/>
        <v>1617.8625</v>
      </c>
      <c r="G8" s="12">
        <f t="shared" si="2"/>
        <v>1609.6499999999999</v>
      </c>
      <c r="H8" s="12">
        <f t="shared" si="2"/>
        <v>1601.4375</v>
      </c>
      <c r="I8" s="12">
        <f t="shared" si="2"/>
        <v>1593.2249999999999</v>
      </c>
      <c r="J8" s="12">
        <f t="shared" si="2"/>
        <v>1585.0125</v>
      </c>
      <c r="K8" s="12">
        <f t="shared" si="2"/>
        <v>1576.8</v>
      </c>
      <c r="L8" s="12">
        <f t="shared" si="2"/>
        <v>1568.5874999999999</v>
      </c>
      <c r="M8" s="12">
        <f t="shared" si="2"/>
        <v>1560.375</v>
      </c>
      <c r="N8" s="12">
        <f t="shared" si="2"/>
        <v>1552.1624999999999</v>
      </c>
      <c r="O8" s="12">
        <f t="shared" si="2"/>
        <v>1543.9499999999998</v>
      </c>
      <c r="P8" s="12">
        <f t="shared" si="2"/>
        <v>1535.7375000000002</v>
      </c>
      <c r="Q8" s="12">
        <f t="shared" si="2"/>
        <v>1527.5249999999999</v>
      </c>
      <c r="R8" s="12">
        <f t="shared" si="2"/>
        <v>1519.3125</v>
      </c>
      <c r="S8" s="12">
        <f t="shared" si="2"/>
        <v>1511.1000000000001</v>
      </c>
      <c r="T8" s="12">
        <f t="shared" si="2"/>
        <v>1502.8875</v>
      </c>
      <c r="U8" s="12">
        <f t="shared" si="2"/>
        <v>1494.675</v>
      </c>
      <c r="V8" s="12">
        <f t="shared" si="2"/>
        <v>1486.4625000000001</v>
      </c>
      <c r="W8" s="12">
        <f t="shared" si="2"/>
        <v>1478.25</v>
      </c>
      <c r="X8" s="12">
        <f t="shared" si="2"/>
        <v>1470.0375000000001</v>
      </c>
      <c r="Y8" s="12">
        <f t="shared" si="2"/>
        <v>1461.825</v>
      </c>
      <c r="Z8" s="12">
        <f t="shared" si="2"/>
        <v>1453.6125</v>
      </c>
      <c r="AA8" s="12">
        <f t="shared" si="2"/>
        <v>1445.4</v>
      </c>
      <c r="AB8" s="24">
        <f>C8</f>
        <v>1642.5</v>
      </c>
      <c r="AC8" s="12">
        <f>$AB$8*(1-(AC2-26)*0.005)</f>
        <v>1634.2874999999999</v>
      </c>
      <c r="AD8" s="12">
        <f t="shared" ref="AD8:AL8" si="3">$AB$8*(1-(AD2-26)*0.005)</f>
        <v>1626.075</v>
      </c>
      <c r="AE8" s="12">
        <f t="shared" si="3"/>
        <v>1617.8625</v>
      </c>
      <c r="AF8" s="12">
        <f t="shared" si="3"/>
        <v>1609.6499999999999</v>
      </c>
      <c r="AG8" s="12">
        <f t="shared" si="3"/>
        <v>1601.4375</v>
      </c>
      <c r="AH8" s="12">
        <f t="shared" si="3"/>
        <v>1593.2249999999999</v>
      </c>
      <c r="AI8" s="12">
        <f t="shared" si="3"/>
        <v>1585.0125</v>
      </c>
      <c r="AJ8" s="12">
        <f t="shared" si="3"/>
        <v>1576.8</v>
      </c>
      <c r="AK8" s="12">
        <f t="shared" si="3"/>
        <v>1568.5874999999999</v>
      </c>
      <c r="AL8" s="12">
        <f t="shared" si="3"/>
        <v>1560.375</v>
      </c>
    </row>
    <row r="9" spans="1:44" x14ac:dyDescent="0.2">
      <c r="A9" s="10"/>
      <c r="B9" s="13" t="s">
        <v>54</v>
      </c>
      <c r="C9" s="20">
        <f>C8*LCI!$C$8/2</f>
        <v>585.66857142857145</v>
      </c>
      <c r="D9" s="20">
        <f>D8*LCI!$C$8</f>
        <v>1165.4804571428572</v>
      </c>
      <c r="E9" s="20">
        <f>E8*LCI!$C$8</f>
        <v>1159.6237714285714</v>
      </c>
      <c r="F9" s="20">
        <f>F8*LCI!$C$8</f>
        <v>1153.7670857142857</v>
      </c>
      <c r="G9" s="20">
        <f>G8*LCI!$C$8</f>
        <v>1147.9104</v>
      </c>
      <c r="H9" s="20">
        <f>H8*LCI!$C$8</f>
        <v>1142.0537142857142</v>
      </c>
      <c r="I9" s="20">
        <f>I8*LCI!$C$8</f>
        <v>1136.1970285714285</v>
      </c>
      <c r="J9" s="20">
        <f>J8*LCI!$C$8</f>
        <v>1130.340342857143</v>
      </c>
      <c r="K9" s="20">
        <f>K8*LCI!$C$8</f>
        <v>1124.4836571428573</v>
      </c>
      <c r="L9" s="20">
        <f>L8*LCI!$C$8</f>
        <v>1118.6269714285713</v>
      </c>
      <c r="M9" s="20">
        <f>M8*LCI!$C$8</f>
        <v>1112.7702857142858</v>
      </c>
      <c r="N9" s="20">
        <f>N8*LCI!$C$8</f>
        <v>1106.9136000000001</v>
      </c>
      <c r="O9" s="20">
        <f>O8*LCI!$C$8</f>
        <v>1101.0569142857141</v>
      </c>
      <c r="P9" s="20">
        <f>P8*LCI!$C$8</f>
        <v>1095.2002285714289</v>
      </c>
      <c r="Q9" s="20">
        <f>Q8*LCI!$C$8</f>
        <v>1089.3435428571429</v>
      </c>
      <c r="R9" s="20">
        <f>R8*LCI!$C$8</f>
        <v>1083.4868571428572</v>
      </c>
      <c r="S9" s="20">
        <f>S8*LCI!$C$8</f>
        <v>1077.6301714285717</v>
      </c>
      <c r="T9" s="20">
        <f>T8*LCI!$C$8</f>
        <v>1071.7734857142859</v>
      </c>
      <c r="U9" s="20">
        <f>U8*LCI!$C$8</f>
        <v>1065.9168</v>
      </c>
      <c r="V9" s="20">
        <f>V8*LCI!$C$8</f>
        <v>1060.0601142857145</v>
      </c>
      <c r="W9" s="20">
        <f>W8*LCI!$C$8</f>
        <v>1054.2034285714287</v>
      </c>
      <c r="X9" s="20">
        <f>X8*LCI!$C$8</f>
        <v>1048.346742857143</v>
      </c>
      <c r="Y9" s="20">
        <f>Y8*LCI!$C$8</f>
        <v>1042.4900571428573</v>
      </c>
      <c r="Z9" s="20">
        <f>Z8*LCI!$C$8</f>
        <v>1036.6333714285715</v>
      </c>
      <c r="AA9" s="20">
        <f>AA8*LCI!$C$8</f>
        <v>1030.7766857142858</v>
      </c>
      <c r="AB9" s="20">
        <f>AB8*LCI!$C$8</f>
        <v>1171.3371428571429</v>
      </c>
      <c r="AC9" s="20">
        <f>AC8*LCI!$C$8</f>
        <v>1165.4804571428572</v>
      </c>
      <c r="AD9" s="20">
        <f>AD8*LCI!$C$8</f>
        <v>1159.6237714285714</v>
      </c>
      <c r="AE9" s="20">
        <f>AE8*LCI!$C$8</f>
        <v>1153.7670857142857</v>
      </c>
      <c r="AF9" s="20">
        <f>AF8*LCI!$C$8</f>
        <v>1147.9104</v>
      </c>
      <c r="AG9" s="20">
        <f>AG8*LCI!$C$8</f>
        <v>1142.0537142857142</v>
      </c>
      <c r="AH9" s="20">
        <f>AH8*LCI!$C$8</f>
        <v>1136.1970285714285</v>
      </c>
      <c r="AI9" s="20">
        <f>AI8*LCI!$C$8</f>
        <v>1130.340342857143</v>
      </c>
      <c r="AJ9" s="20">
        <f>AJ8*LCI!$C$8</f>
        <v>1124.4836571428573</v>
      </c>
      <c r="AK9" s="20">
        <f>AK8*LCI!$C$8</f>
        <v>1118.6269714285713</v>
      </c>
      <c r="AL9" s="20">
        <f>AL8*LCI!$C$8</f>
        <v>1112.7702857142858</v>
      </c>
    </row>
    <row r="10" spans="1:44" x14ac:dyDescent="0.2">
      <c r="A10" s="10"/>
      <c r="B10" s="13" t="s">
        <v>55</v>
      </c>
      <c r="C10" s="20">
        <f t="shared" ref="C10:AL10" si="4">C9*C4/1000</f>
        <v>173.76786514285712</v>
      </c>
      <c r="D10" s="20">
        <f t="shared" si="4"/>
        <v>345.79805163428574</v>
      </c>
      <c r="E10" s="20">
        <f t="shared" si="4"/>
        <v>344.0718589143973</v>
      </c>
      <c r="F10" s="20">
        <f t="shared" si="4"/>
        <v>355.86760104250146</v>
      </c>
      <c r="G10" s="20">
        <f t="shared" si="4"/>
        <v>341.09408266432871</v>
      </c>
      <c r="H10" s="20">
        <f t="shared" si="4"/>
        <v>260.43984482227864</v>
      </c>
      <c r="I10" s="20">
        <f t="shared" si="4"/>
        <v>246.01863224050024</v>
      </c>
      <c r="J10" s="20">
        <f t="shared" si="4"/>
        <v>214.72898028072575</v>
      </c>
      <c r="K10" s="20">
        <f t="shared" si="4"/>
        <v>180.23582552729945</v>
      </c>
      <c r="L10" s="20">
        <f t="shared" si="4"/>
        <v>167.59800314227766</v>
      </c>
      <c r="M10" s="20">
        <f t="shared" si="4"/>
        <v>184.66699394586249</v>
      </c>
      <c r="N10" s="20">
        <f t="shared" si="4"/>
        <v>199.67156986393834</v>
      </c>
      <c r="O10" s="20">
        <f t="shared" si="4"/>
        <v>192.36105226924798</v>
      </c>
      <c r="P10" s="20">
        <f t="shared" si="4"/>
        <v>184.52004867267107</v>
      </c>
      <c r="Q10" s="20">
        <f t="shared" si="4"/>
        <v>175.47565093624036</v>
      </c>
      <c r="R10" s="20">
        <f t="shared" si="4"/>
        <v>161.74147494335904</v>
      </c>
      <c r="S10" s="20">
        <f t="shared" si="4"/>
        <v>145.51454520692951</v>
      </c>
      <c r="T10" s="20">
        <f t="shared" si="4"/>
        <v>136.49353939529701</v>
      </c>
      <c r="U10" s="20">
        <f t="shared" si="4"/>
        <v>131.36404998336096</v>
      </c>
      <c r="V10" s="20">
        <f t="shared" si="4"/>
        <v>131.26460199274544</v>
      </c>
      <c r="W10" s="20">
        <f t="shared" si="4"/>
        <v>127.37477322446918</v>
      </c>
      <c r="X10" s="20">
        <f t="shared" si="4"/>
        <v>123.59842331818641</v>
      </c>
      <c r="Y10" s="20">
        <f t="shared" si="4"/>
        <v>119.53833426382519</v>
      </c>
      <c r="Z10" s="20">
        <f t="shared" si="4"/>
        <v>116.53212136050993</v>
      </c>
      <c r="AA10" s="20">
        <f t="shared" si="4"/>
        <v>116.29007150283992</v>
      </c>
      <c r="AB10" s="20">
        <f t="shared" si="4"/>
        <v>127.98387457221861</v>
      </c>
      <c r="AC10" s="20">
        <f t="shared" si="4"/>
        <v>126.84269768015113</v>
      </c>
      <c r="AD10" s="20">
        <f t="shared" si="4"/>
        <v>125.74971300257556</v>
      </c>
      <c r="AE10" s="20">
        <f t="shared" si="4"/>
        <v>123.69136421275142</v>
      </c>
      <c r="AF10" s="20">
        <f t="shared" si="4"/>
        <v>121.32134872662878</v>
      </c>
      <c r="AG10" s="20">
        <f t="shared" si="4"/>
        <v>118.7525388112503</v>
      </c>
      <c r="AH10" s="20">
        <f t="shared" si="4"/>
        <v>112.1746569191689</v>
      </c>
      <c r="AI10" s="20">
        <f t="shared" si="4"/>
        <v>109.76388739728539</v>
      </c>
      <c r="AJ10" s="20">
        <f t="shared" si="4"/>
        <v>108.31548540796045</v>
      </c>
      <c r="AK10" s="20">
        <f t="shared" si="4"/>
        <v>108.16176304704305</v>
      </c>
      <c r="AL10" s="21">
        <f t="shared" si="4"/>
        <v>105.51158129294781</v>
      </c>
      <c r="AR10" s="2"/>
    </row>
    <row r="11" spans="1:44" x14ac:dyDescent="0.2">
      <c r="A11" s="14"/>
      <c r="B11" s="22" t="s">
        <v>57</v>
      </c>
      <c r="C11" s="17">
        <f>LCI!C43/2</f>
        <v>1183.6168755571432</v>
      </c>
      <c r="D11" s="17">
        <f>C11</f>
        <v>1183.6168755571432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32">
        <f>C11</f>
        <v>1183.6168755571432</v>
      </c>
      <c r="AC11" s="17">
        <f>AB11</f>
        <v>1183.6168755571432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8">
        <v>0</v>
      </c>
      <c r="AP11" s="6"/>
    </row>
    <row r="12" spans="1:44" x14ac:dyDescent="0.2">
      <c r="A12" s="12"/>
      <c r="B12" s="13" t="s">
        <v>77</v>
      </c>
      <c r="C12" s="20">
        <f>C11-C10</f>
        <v>1009.8490104142861</v>
      </c>
      <c r="D12" s="20">
        <f>D11-D10</f>
        <v>837.81882392285752</v>
      </c>
      <c r="E12" s="20">
        <f t="shared" ref="E12:AA12" si="5">E11-E10</f>
        <v>-344.0718589143973</v>
      </c>
      <c r="F12" s="20">
        <f t="shared" si="5"/>
        <v>-355.86760104250146</v>
      </c>
      <c r="G12" s="20">
        <f t="shared" si="5"/>
        <v>-341.09408266432871</v>
      </c>
      <c r="H12" s="20">
        <f t="shared" si="5"/>
        <v>-260.43984482227864</v>
      </c>
      <c r="I12" s="20">
        <f t="shared" si="5"/>
        <v>-246.01863224050024</v>
      </c>
      <c r="J12" s="20">
        <f t="shared" si="5"/>
        <v>-214.72898028072575</v>
      </c>
      <c r="K12" s="20">
        <f t="shared" si="5"/>
        <v>-180.23582552729945</v>
      </c>
      <c r="L12" s="20">
        <f t="shared" si="5"/>
        <v>-167.59800314227766</v>
      </c>
      <c r="M12" s="20">
        <f t="shared" si="5"/>
        <v>-184.66699394586249</v>
      </c>
      <c r="N12" s="20">
        <f t="shared" si="5"/>
        <v>-199.67156986393834</v>
      </c>
      <c r="O12" s="20">
        <f t="shared" si="5"/>
        <v>-192.36105226924798</v>
      </c>
      <c r="P12" s="20">
        <f t="shared" si="5"/>
        <v>-184.52004867267107</v>
      </c>
      <c r="Q12" s="20">
        <f t="shared" si="5"/>
        <v>-175.47565093624036</v>
      </c>
      <c r="R12" s="20">
        <f t="shared" si="5"/>
        <v>-161.74147494335904</v>
      </c>
      <c r="S12" s="20">
        <f t="shared" si="5"/>
        <v>-145.51454520692951</v>
      </c>
      <c r="T12" s="20">
        <f t="shared" si="5"/>
        <v>-136.49353939529701</v>
      </c>
      <c r="U12" s="20">
        <f t="shared" si="5"/>
        <v>-131.36404998336096</v>
      </c>
      <c r="V12" s="20">
        <f t="shared" si="5"/>
        <v>-131.26460199274544</v>
      </c>
      <c r="W12" s="20">
        <f t="shared" si="5"/>
        <v>-127.37477322446918</v>
      </c>
      <c r="X12" s="20">
        <f t="shared" si="5"/>
        <v>-123.59842331818641</v>
      </c>
      <c r="Y12" s="20">
        <f t="shared" si="5"/>
        <v>-119.53833426382519</v>
      </c>
      <c r="Z12" s="20">
        <f t="shared" si="5"/>
        <v>-116.53212136050993</v>
      </c>
      <c r="AA12" s="20">
        <f t="shared" si="5"/>
        <v>-116.29007150283992</v>
      </c>
      <c r="AB12" s="24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P12" s="6"/>
    </row>
    <row r="13" spans="1:44" x14ac:dyDescent="0.2">
      <c r="B13" s="5" t="s">
        <v>149</v>
      </c>
      <c r="C13" s="4">
        <f>C11-C10</f>
        <v>1009.8490104142861</v>
      </c>
      <c r="D13" s="6">
        <f>C13+D11-D10</f>
        <v>1847.6678343371434</v>
      </c>
      <c r="E13" s="6">
        <f t="shared" ref="E13:AL13" si="6">D13+E11-E10</f>
        <v>1503.5959754227461</v>
      </c>
      <c r="F13" s="6">
        <f t="shared" si="6"/>
        <v>1147.7283743802445</v>
      </c>
      <c r="G13" s="6">
        <f t="shared" si="6"/>
        <v>806.63429171591588</v>
      </c>
      <c r="H13" s="6">
        <f t="shared" si="6"/>
        <v>546.19444689363718</v>
      </c>
      <c r="I13" s="6">
        <f t="shared" si="6"/>
        <v>300.17581465313697</v>
      </c>
      <c r="J13" s="6">
        <f t="shared" si="6"/>
        <v>85.446834372411217</v>
      </c>
      <c r="K13" s="6">
        <f t="shared" si="6"/>
        <v>-94.788991154888237</v>
      </c>
      <c r="L13" s="6">
        <f t="shared" si="6"/>
        <v>-262.38699429716587</v>
      </c>
      <c r="M13" s="6">
        <f t="shared" si="6"/>
        <v>-447.05398824302836</v>
      </c>
      <c r="N13" s="6">
        <f t="shared" si="6"/>
        <v>-646.72555810696667</v>
      </c>
      <c r="O13" s="6">
        <f t="shared" si="6"/>
        <v>-839.08661037621459</v>
      </c>
      <c r="P13" s="6">
        <f t="shared" si="6"/>
        <v>-1023.6066590488856</v>
      </c>
      <c r="Q13" s="6">
        <f t="shared" si="6"/>
        <v>-1199.0823099851259</v>
      </c>
      <c r="R13" s="6">
        <f t="shared" si="6"/>
        <v>-1360.8237849284849</v>
      </c>
      <c r="S13" s="6">
        <f t="shared" si="6"/>
        <v>-1506.3383301354145</v>
      </c>
      <c r="T13" s="6">
        <f t="shared" si="6"/>
        <v>-1642.8318695307114</v>
      </c>
      <c r="U13" s="6">
        <f t="shared" si="6"/>
        <v>-1774.1959195140723</v>
      </c>
      <c r="V13" s="6">
        <f t="shared" si="6"/>
        <v>-1905.4605215068177</v>
      </c>
      <c r="W13" s="6">
        <f t="shared" si="6"/>
        <v>-2032.8352947312869</v>
      </c>
      <c r="X13" s="6">
        <f t="shared" si="6"/>
        <v>-2156.4337180494731</v>
      </c>
      <c r="Y13" s="6">
        <f t="shared" si="6"/>
        <v>-2275.9720523132983</v>
      </c>
      <c r="Z13" s="6">
        <f t="shared" si="6"/>
        <v>-2392.5041736738081</v>
      </c>
      <c r="AA13" s="33">
        <f t="shared" si="6"/>
        <v>-2508.794245176648</v>
      </c>
      <c r="AB13" s="6">
        <f t="shared" si="6"/>
        <v>-1453.1612441917234</v>
      </c>
      <c r="AC13" s="6">
        <f t="shared" si="6"/>
        <v>-396.38706631473133</v>
      </c>
      <c r="AD13" s="6">
        <f t="shared" si="6"/>
        <v>-522.13677931730695</v>
      </c>
      <c r="AE13" s="6">
        <f t="shared" si="6"/>
        <v>-645.82814353005836</v>
      </c>
      <c r="AF13" s="6">
        <f t="shared" si="6"/>
        <v>-767.14949225668715</v>
      </c>
      <c r="AG13" s="6">
        <f t="shared" si="6"/>
        <v>-885.90203106793751</v>
      </c>
      <c r="AH13" s="6">
        <f t="shared" si="6"/>
        <v>-998.07668798710642</v>
      </c>
      <c r="AI13" s="6">
        <f t="shared" si="6"/>
        <v>-1107.8405753843917</v>
      </c>
      <c r="AJ13" s="6">
        <f t="shared" si="6"/>
        <v>-1216.1560607923523</v>
      </c>
      <c r="AK13" s="6">
        <f t="shared" si="6"/>
        <v>-1324.3178238393953</v>
      </c>
      <c r="AL13" s="6">
        <f t="shared" si="6"/>
        <v>-1429.829405132343</v>
      </c>
      <c r="AP13" s="2"/>
    </row>
    <row r="14" spans="1:44" x14ac:dyDescent="0.2">
      <c r="B14" s="5"/>
      <c r="C14" s="4"/>
    </row>
    <row r="15" spans="1:44" x14ac:dyDescent="0.2">
      <c r="A15" s="26" t="s">
        <v>130</v>
      </c>
      <c r="B15" s="5"/>
      <c r="C15" s="4"/>
    </row>
    <row r="16" spans="1:44" x14ac:dyDescent="0.2">
      <c r="A16" t="s">
        <v>143</v>
      </c>
      <c r="B16" s="3" t="s">
        <v>131</v>
      </c>
      <c r="C16" s="4">
        <f>C9*LCI!$C$2*1000</f>
        <v>58566.857142857145</v>
      </c>
      <c r="D16" s="4">
        <f>D9*LCI!$C$2*1000/(1.04^(D2-1))</f>
        <v>112065.42857142858</v>
      </c>
      <c r="E16" s="4">
        <f>E9*LCI!$C$2*1000/(1.04^(E2-1))</f>
        <v>107213.73626373625</v>
      </c>
      <c r="F16" s="4">
        <f>F9*LCI!$C$2*1000/(1.04^(F2-1))</f>
        <v>102569.47379543533</v>
      </c>
      <c r="G16" s="4">
        <f>G9*LCI!$C$2*1000/(1.04^(G2-1))</f>
        <v>98123.862084660897</v>
      </c>
      <c r="H16" s="4">
        <f>H9*LCI!$C$2*1000/(1.04^(H2-1))</f>
        <v>93868.490514662815</v>
      </c>
      <c r="I16" s="4">
        <f>I9*LCI!$C$2*1000/(1.04^(I2-1))</f>
        <v>89795.301577142935</v>
      </c>
      <c r="J16" s="4">
        <f>J9*LCI!$C$2*1000/(1.04^(J2-1))</f>
        <v>85896.576151807065</v>
      </c>
      <c r="K16" s="4">
        <f>K9*LCI!$C$2*1000/(1.04^(K2-1))</f>
        <v>82164.919395909485</v>
      </c>
      <c r="L16" s="4">
        <f>L9*LCI!$C$2*1000/(1.04^(L2-1))</f>
        <v>78593.247218643373</v>
      </c>
      <c r="M16" s="4">
        <f>M9*LCI!$C$2*1000/(1.04^(M2-1))</f>
        <v>75174.773316261795</v>
      </c>
      <c r="N16" s="4">
        <f>N9*LCI!$C$2*1000/(1.04^(N2-1))</f>
        <v>71902.996744805059</v>
      </c>
      <c r="O16" s="4">
        <f>O9*LCI!$C$2*1000/(1.04^(O2-1))</f>
        <v>68771.690008258767</v>
      </c>
      <c r="P16" s="4">
        <f>P9*LCI!$C$2*1000/(1.04^(P2-1))</f>
        <v>65774.887640877641</v>
      </c>
      <c r="Q16" s="4">
        <f>Q9*LCI!$C$2*1000/(1.04^(Q2-1))</f>
        <v>62906.875263282789</v>
      </c>
      <c r="R16" s="4">
        <f>R9*LCI!$C$2*1000/(1.04^(R2-1))</f>
        <v>60162.179092779763</v>
      </c>
      <c r="S16" s="4">
        <f>S9*LCI!$C$2*1000/(1.04^(S2-1))</f>
        <v>57535.555889144882</v>
      </c>
      <c r="T16" s="4">
        <f>T9*LCI!$C$2*1000/(1.04^(T2-1))</f>
        <v>55021.983317900886</v>
      </c>
      <c r="U16" s="4">
        <f>U9*LCI!$C$2*1000/(1.04^(U2-1))</f>
        <v>52616.650713839626</v>
      </c>
      <c r="V16" s="4">
        <f>V9*LCI!$C$2*1000/(1.04^(V2-1))</f>
        <v>50314.950228259593</v>
      </c>
      <c r="W16" s="4">
        <f>W9*LCI!$C$2*1000/(1.04^(W2-1))</f>
        <v>48112.468344064633</v>
      </c>
      <c r="X16" s="4">
        <f>X9*LCI!$C$2*1000/(1.04^(X2-1))</f>
        <v>46004.977743523319</v>
      </c>
      <c r="Y16" s="4">
        <f>Y9*LCI!$C$2*1000/(1.04^(Y2-1))</f>
        <v>43988.429514112329</v>
      </c>
      <c r="Z16" s="4">
        <f>Z9*LCI!$C$2*1000/(1.04^(Z2-1))</f>
        <v>42058.945678467389</v>
      </c>
      <c r="AA16" s="4">
        <f>AA9*LCI!$C$2*1000/(1.04^(AA2-1))</f>
        <v>40212.81203504053</v>
      </c>
      <c r="AB16" s="4">
        <f>AB9*LCI!$C$2*1000/(1.04^(AB2-1))</f>
        <v>43938.824338986575</v>
      </c>
      <c r="AC16" s="4">
        <f>AC9*LCI!$C$2*1000/(1.04^(AC2-1))</f>
        <v>42037.625208934282</v>
      </c>
      <c r="AD16" s="4">
        <f>AD9*LCI!$C$2*1000/(1.04^(AD2-1))</f>
        <v>40217.673904952586</v>
      </c>
      <c r="AE16" s="4">
        <f>AE9*LCI!$C$2*1000/(1.04^(AE2-1))</f>
        <v>38475.533019015435</v>
      </c>
      <c r="AF16" s="4">
        <f>AF9*LCI!$C$2*1000/(1.04^(AF2-1))</f>
        <v>36807.90937000695</v>
      </c>
      <c r="AG16" s="4">
        <f>AG9*LCI!$C$2*1000/(1.04^(AG2-1))</f>
        <v>35211.647994266852</v>
      </c>
      <c r="AH16" s="4">
        <f>AH9*LCI!$C$2*1000/(1.04^(AH2-1))</f>
        <v>33683.726385048176</v>
      </c>
      <c r="AI16" s="4">
        <f>AI9*LCI!$C$2*1000/(1.04^(AI2-1))</f>
        <v>32221.248970629949</v>
      </c>
      <c r="AJ16" s="4">
        <f>AJ9*LCI!$C$2*1000/(1.04^(AJ2-1))</f>
        <v>30821.441821248256</v>
      </c>
      <c r="AK16" s="4">
        <f>AK9*LCI!$C$2*1000/(1.04^(AK2-1))</f>
        <v>29481.647575412739</v>
      </c>
      <c r="AL16" s="4">
        <f>AL9*LCI!$C$2*1000/(1.04^(AL2-1))</f>
        <v>28199.320576562732</v>
      </c>
      <c r="AN16" s="26" t="s">
        <v>56</v>
      </c>
      <c r="AP16" t="s">
        <v>150</v>
      </c>
      <c r="AQ16" s="1">
        <f>SUM(C16:AA16)</f>
        <v>1749418.0682469029</v>
      </c>
    </row>
    <row r="17" spans="2:43" x14ac:dyDescent="0.2">
      <c r="B17" s="3" t="s">
        <v>132</v>
      </c>
      <c r="C17" s="4">
        <f>LCI!C44/2</f>
        <v>499200</v>
      </c>
      <c r="D17">
        <f>$C$17/(1.04^(D2-1))</f>
        <v>480000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f>$C$17/(1.04^(AB2-1))</f>
        <v>187258.3076851787</v>
      </c>
      <c r="AC17">
        <f>$C$17/(1.04^(AC2-1))</f>
        <v>180056.06508190263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N17" t="s">
        <v>134</v>
      </c>
      <c r="AO17" s="6">
        <f>AA13</f>
        <v>-2508.794245176648</v>
      </c>
      <c r="AP17" t="s">
        <v>151</v>
      </c>
      <c r="AQ17" s="1">
        <f>SUM(C17:AA17)</f>
        <v>979200</v>
      </c>
    </row>
    <row r="18" spans="2:43" x14ac:dyDescent="0.2">
      <c r="B18" s="3" t="s">
        <v>21</v>
      </c>
      <c r="C18" s="4">
        <f>C17-C16</f>
        <v>440633.14285714284</v>
      </c>
      <c r="D18" s="4">
        <f t="shared" ref="D18:AL18" si="7">D17-D16</f>
        <v>367934.57142857142</v>
      </c>
      <c r="E18" s="4">
        <f t="shared" si="7"/>
        <v>-107213.73626373625</v>
      </c>
      <c r="F18" s="4">
        <f t="shared" si="7"/>
        <v>-102569.47379543533</v>
      </c>
      <c r="G18" s="4">
        <f t="shared" si="7"/>
        <v>-98123.862084660897</v>
      </c>
      <c r="H18" s="4">
        <f t="shared" si="7"/>
        <v>-93868.490514662815</v>
      </c>
      <c r="I18" s="4">
        <f t="shared" si="7"/>
        <v>-89795.301577142935</v>
      </c>
      <c r="J18" s="4">
        <f t="shared" si="7"/>
        <v>-85896.576151807065</v>
      </c>
      <c r="K18" s="4">
        <f t="shared" si="7"/>
        <v>-82164.919395909485</v>
      </c>
      <c r="L18" s="4">
        <f t="shared" si="7"/>
        <v>-78593.247218643373</v>
      </c>
      <c r="M18" s="4">
        <f t="shared" si="7"/>
        <v>-75174.773316261795</v>
      </c>
      <c r="N18" s="4">
        <f t="shared" si="7"/>
        <v>-71902.996744805059</v>
      </c>
      <c r="O18" s="4">
        <f t="shared" si="7"/>
        <v>-68771.690008258767</v>
      </c>
      <c r="P18" s="4">
        <f t="shared" si="7"/>
        <v>-65774.887640877641</v>
      </c>
      <c r="Q18" s="4">
        <f t="shared" si="7"/>
        <v>-62906.875263282789</v>
      </c>
      <c r="R18" s="4">
        <f t="shared" si="7"/>
        <v>-60162.179092779763</v>
      </c>
      <c r="S18" s="4">
        <f t="shared" si="7"/>
        <v>-57535.555889144882</v>
      </c>
      <c r="T18" s="4">
        <f t="shared" si="7"/>
        <v>-55021.983317900886</v>
      </c>
      <c r="U18" s="4">
        <f t="shared" si="7"/>
        <v>-52616.650713839626</v>
      </c>
      <c r="V18" s="4">
        <f t="shared" si="7"/>
        <v>-50314.950228259593</v>
      </c>
      <c r="W18" s="4">
        <f t="shared" si="7"/>
        <v>-48112.468344064633</v>
      </c>
      <c r="X18" s="4">
        <f t="shared" si="7"/>
        <v>-46004.977743523319</v>
      </c>
      <c r="Y18" s="4">
        <f t="shared" si="7"/>
        <v>-43988.429514112329</v>
      </c>
      <c r="Z18" s="4">
        <f t="shared" si="7"/>
        <v>-42058.945678467389</v>
      </c>
      <c r="AA18" s="4">
        <f t="shared" si="7"/>
        <v>-40212.81203504053</v>
      </c>
      <c r="AB18" s="4">
        <f t="shared" si="7"/>
        <v>143319.48334619214</v>
      </c>
      <c r="AC18" s="4">
        <f t="shared" si="7"/>
        <v>138018.43987296836</v>
      </c>
      <c r="AD18" s="4">
        <f t="shared" si="7"/>
        <v>-40217.673904952586</v>
      </c>
      <c r="AE18" s="4">
        <f t="shared" si="7"/>
        <v>-38475.533019015435</v>
      </c>
      <c r="AF18" s="4">
        <f t="shared" si="7"/>
        <v>-36807.90937000695</v>
      </c>
      <c r="AG18" s="4">
        <f t="shared" si="7"/>
        <v>-35211.647994266852</v>
      </c>
      <c r="AH18" s="4">
        <f t="shared" si="7"/>
        <v>-33683.726385048176</v>
      </c>
      <c r="AI18" s="4">
        <f t="shared" si="7"/>
        <v>-32221.248970629949</v>
      </c>
      <c r="AJ18" s="4">
        <f t="shared" si="7"/>
        <v>-30821.441821248256</v>
      </c>
      <c r="AK18" s="4">
        <f t="shared" si="7"/>
        <v>-29481.647575412739</v>
      </c>
      <c r="AL18" s="4">
        <f t="shared" si="7"/>
        <v>-28199.320576562732</v>
      </c>
      <c r="AN18" t="s">
        <v>76</v>
      </c>
      <c r="AO18" s="1">
        <f>-SUM(C17:D17)/AO17</f>
        <v>390.30701775667262</v>
      </c>
    </row>
    <row r="19" spans="2:43" x14ac:dyDescent="0.2">
      <c r="B19" s="5" t="s">
        <v>78</v>
      </c>
      <c r="C19" s="4">
        <f>C18</f>
        <v>440633.14285714284</v>
      </c>
      <c r="D19" s="6">
        <f>C19+D18</f>
        <v>808567.71428571432</v>
      </c>
      <c r="E19" s="6">
        <f t="shared" ref="E19:AL19" si="8">D19+E18</f>
        <v>701353.97802197805</v>
      </c>
      <c r="F19" s="6">
        <f t="shared" si="8"/>
        <v>598784.50422654278</v>
      </c>
      <c r="G19" s="6">
        <f t="shared" si="8"/>
        <v>500660.64214188186</v>
      </c>
      <c r="H19" s="6">
        <f t="shared" si="8"/>
        <v>406792.15162721905</v>
      </c>
      <c r="I19" s="6">
        <f t="shared" si="8"/>
        <v>316996.85005007614</v>
      </c>
      <c r="J19" s="6">
        <f t="shared" si="8"/>
        <v>231100.27389826908</v>
      </c>
      <c r="K19" s="6">
        <f t="shared" si="8"/>
        <v>148935.35450235958</v>
      </c>
      <c r="L19" s="6">
        <f t="shared" si="8"/>
        <v>70342.107283716206</v>
      </c>
      <c r="M19" s="6">
        <f t="shared" si="8"/>
        <v>-4832.6660325455887</v>
      </c>
      <c r="N19" s="6">
        <f t="shared" si="8"/>
        <v>-76735.662777350648</v>
      </c>
      <c r="O19" s="6">
        <f t="shared" si="8"/>
        <v>-145507.35278560943</v>
      </c>
      <c r="P19" s="6">
        <f t="shared" si="8"/>
        <v>-211282.24042648706</v>
      </c>
      <c r="Q19" s="6">
        <f t="shared" si="8"/>
        <v>-274189.11568976985</v>
      </c>
      <c r="R19" s="6">
        <f t="shared" si="8"/>
        <v>-334351.29478254961</v>
      </c>
      <c r="S19" s="6">
        <f t="shared" si="8"/>
        <v>-391886.8506716945</v>
      </c>
      <c r="T19" s="6">
        <f t="shared" si="8"/>
        <v>-446908.83398959541</v>
      </c>
      <c r="U19" s="6">
        <f t="shared" si="8"/>
        <v>-499525.48470343504</v>
      </c>
      <c r="V19" s="6">
        <f t="shared" si="8"/>
        <v>-549840.43493169465</v>
      </c>
      <c r="W19" s="6">
        <f t="shared" si="8"/>
        <v>-597952.90327575931</v>
      </c>
      <c r="X19" s="6">
        <f t="shared" si="8"/>
        <v>-643957.88101928262</v>
      </c>
      <c r="Y19" s="6">
        <f t="shared" si="8"/>
        <v>-687946.31053339492</v>
      </c>
      <c r="Z19" s="6">
        <f t="shared" si="8"/>
        <v>-730005.25621186232</v>
      </c>
      <c r="AA19" s="33">
        <f t="shared" si="8"/>
        <v>-770218.0682469029</v>
      </c>
      <c r="AB19" s="6">
        <f t="shared" si="8"/>
        <v>-626898.58490071073</v>
      </c>
      <c r="AC19" s="6">
        <f t="shared" si="8"/>
        <v>-488880.14502774237</v>
      </c>
      <c r="AD19" s="6">
        <f t="shared" si="8"/>
        <v>-529097.81893269497</v>
      </c>
      <c r="AE19" s="6">
        <f t="shared" si="8"/>
        <v>-567573.35195171041</v>
      </c>
      <c r="AF19" s="6">
        <f t="shared" si="8"/>
        <v>-604381.26132171741</v>
      </c>
      <c r="AG19" s="6">
        <f t="shared" si="8"/>
        <v>-639592.90931598423</v>
      </c>
      <c r="AH19" s="6">
        <f t="shared" si="8"/>
        <v>-673276.63570103236</v>
      </c>
      <c r="AI19" s="6">
        <f t="shared" si="8"/>
        <v>-705497.88467166235</v>
      </c>
      <c r="AJ19" s="6">
        <f t="shared" si="8"/>
        <v>-736319.32649291062</v>
      </c>
      <c r="AK19" s="6">
        <f t="shared" si="8"/>
        <v>-765800.97406832338</v>
      </c>
      <c r="AL19" s="6">
        <f t="shared" si="8"/>
        <v>-794000.29464488616</v>
      </c>
      <c r="AN19" t="s">
        <v>135</v>
      </c>
      <c r="AO19" s="1">
        <f>-AA19/AO17</f>
        <v>-307.00726842295137</v>
      </c>
    </row>
    <row r="20" spans="2:43" x14ac:dyDescent="0.2">
      <c r="B20" s="3" t="s">
        <v>152</v>
      </c>
      <c r="C20" s="4">
        <f>C19/1000</f>
        <v>440.63314285714284</v>
      </c>
      <c r="D20" s="4">
        <f t="shared" ref="D20:AA20" si="9">D19/1000</f>
        <v>808.56771428571437</v>
      </c>
      <c r="E20" s="4">
        <f t="shared" si="9"/>
        <v>701.35397802197804</v>
      </c>
      <c r="F20" s="4">
        <f t="shared" si="9"/>
        <v>598.78450422654282</v>
      </c>
      <c r="G20" s="4">
        <f t="shared" si="9"/>
        <v>500.66064214188185</v>
      </c>
      <c r="H20" s="4">
        <f t="shared" si="9"/>
        <v>406.79215162721903</v>
      </c>
      <c r="I20" s="4">
        <f t="shared" si="9"/>
        <v>316.99685005007615</v>
      </c>
      <c r="J20" s="4">
        <f t="shared" si="9"/>
        <v>231.10027389826908</v>
      </c>
      <c r="K20" s="4">
        <f t="shared" si="9"/>
        <v>148.93535450235959</v>
      </c>
      <c r="L20" s="4">
        <f t="shared" si="9"/>
        <v>70.342107283716203</v>
      </c>
      <c r="M20" s="4">
        <f t="shared" si="9"/>
        <v>-4.832666032545589</v>
      </c>
      <c r="N20" s="4">
        <f t="shared" si="9"/>
        <v>-76.735662777350655</v>
      </c>
      <c r="O20" s="4">
        <f t="shared" si="9"/>
        <v>-145.50735278560944</v>
      </c>
      <c r="P20" s="4">
        <f t="shared" si="9"/>
        <v>-211.28224042648705</v>
      </c>
      <c r="Q20" s="4">
        <f t="shared" si="9"/>
        <v>-274.18911568976984</v>
      </c>
      <c r="R20" s="4">
        <f t="shared" si="9"/>
        <v>-334.35129478254959</v>
      </c>
      <c r="S20" s="4">
        <f t="shared" si="9"/>
        <v>-391.8868506716945</v>
      </c>
      <c r="T20" s="4">
        <f t="shared" si="9"/>
        <v>-446.90883398959539</v>
      </c>
      <c r="U20" s="4">
        <f t="shared" si="9"/>
        <v>-499.52548470343504</v>
      </c>
      <c r="V20" s="4">
        <f t="shared" si="9"/>
        <v>-549.84043493169463</v>
      </c>
      <c r="W20" s="4">
        <f t="shared" si="9"/>
        <v>-597.95290327575935</v>
      </c>
      <c r="X20" s="4">
        <f t="shared" si="9"/>
        <v>-643.95788101928258</v>
      </c>
      <c r="Y20" s="4">
        <f t="shared" si="9"/>
        <v>-687.94631053339492</v>
      </c>
      <c r="Z20" s="4">
        <f t="shared" si="9"/>
        <v>-730.00525621186227</v>
      </c>
      <c r="AA20" s="4">
        <f t="shared" si="9"/>
        <v>-770.21806824690293</v>
      </c>
    </row>
    <row r="23" spans="2:43" x14ac:dyDescent="0.2">
      <c r="C23">
        <v>1009.8490104142861</v>
      </c>
      <c r="D23">
        <v>837.81882392285752</v>
      </c>
      <c r="E23">
        <v>-344.0718589143973</v>
      </c>
      <c r="F23">
        <v>-355.86760104250146</v>
      </c>
      <c r="G23">
        <v>-341.09408266432871</v>
      </c>
      <c r="H23">
        <v>-260.43984482227864</v>
      </c>
      <c r="I23">
        <v>-246.01863224050024</v>
      </c>
      <c r="J23">
        <v>-214.72898028072575</v>
      </c>
      <c r="K23">
        <v>-180.23582552729945</v>
      </c>
      <c r="L23">
        <v>-167.59800314227766</v>
      </c>
      <c r="M23">
        <v>-184.66699394586249</v>
      </c>
      <c r="N23">
        <v>-199.67156986393834</v>
      </c>
      <c r="O23">
        <v>-192.36105226924798</v>
      </c>
      <c r="P23">
        <v>-184.52004867267107</v>
      </c>
      <c r="Q23">
        <v>-175.47565093624036</v>
      </c>
      <c r="R23">
        <v>-161.74147494335904</v>
      </c>
      <c r="S23">
        <v>-145.51454520692951</v>
      </c>
      <c r="T23">
        <v>-136.49353939529701</v>
      </c>
      <c r="U23">
        <v>-131.36404998336096</v>
      </c>
      <c r="V23">
        <v>-131.26460199274544</v>
      </c>
      <c r="W23">
        <v>-127.37477322446918</v>
      </c>
      <c r="X23">
        <v>-123.59842331818641</v>
      </c>
      <c r="Y23">
        <v>-119.53833426382519</v>
      </c>
      <c r="Z23">
        <v>-116.53212136050993</v>
      </c>
      <c r="AA23">
        <v>-116.29007150283992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22F7-0DB9-1F46-8D22-70D926140F78}">
  <dimension ref="A1:N44"/>
  <sheetViews>
    <sheetView workbookViewId="0">
      <selection activeCell="C3" sqref="C3"/>
    </sheetView>
  </sheetViews>
  <sheetFormatPr baseColWidth="10" defaultRowHeight="16" x14ac:dyDescent="0.2"/>
  <cols>
    <col min="2" max="2" width="31.1640625" customWidth="1"/>
    <col min="3" max="3" width="13.83203125" customWidth="1"/>
  </cols>
  <sheetData>
    <row r="1" spans="1:11" x14ac:dyDescent="0.2">
      <c r="B1" t="s">
        <v>126</v>
      </c>
      <c r="C1" s="31">
        <v>1.4</v>
      </c>
      <c r="D1" t="s">
        <v>127</v>
      </c>
    </row>
    <row r="2" spans="1:11" x14ac:dyDescent="0.2">
      <c r="B2" t="s">
        <v>140</v>
      </c>
      <c r="C2" s="30">
        <v>0.1</v>
      </c>
      <c r="D2" s="26"/>
    </row>
    <row r="3" spans="1:11" x14ac:dyDescent="0.2">
      <c r="C3" s="30"/>
    </row>
    <row r="4" spans="1:11" x14ac:dyDescent="0.2">
      <c r="B4" s="26" t="s">
        <v>99</v>
      </c>
      <c r="I4" t="s">
        <v>100</v>
      </c>
    </row>
    <row r="5" spans="1:11" x14ac:dyDescent="0.2">
      <c r="B5" t="s">
        <v>28</v>
      </c>
      <c r="C5">
        <v>48</v>
      </c>
      <c r="I5" t="s">
        <v>18</v>
      </c>
      <c r="J5">
        <v>52</v>
      </c>
      <c r="K5" t="s">
        <v>9</v>
      </c>
    </row>
    <row r="6" spans="1:11" x14ac:dyDescent="0.2">
      <c r="B6" t="s">
        <v>29</v>
      </c>
      <c r="C6">
        <f>0.99*1.64</f>
        <v>1.6235999999999999</v>
      </c>
      <c r="D6" t="s">
        <v>24</v>
      </c>
      <c r="I6" t="s">
        <v>10</v>
      </c>
      <c r="J6">
        <v>1700</v>
      </c>
      <c r="K6" t="s">
        <v>2</v>
      </c>
    </row>
    <row r="7" spans="1:11" x14ac:dyDescent="0.2">
      <c r="B7" t="s">
        <v>30</v>
      </c>
      <c r="C7">
        <f>C5*'Beams Info'!G8</f>
        <v>4992</v>
      </c>
      <c r="D7" t="s">
        <v>24</v>
      </c>
      <c r="I7" t="s">
        <v>3</v>
      </c>
      <c r="J7">
        <v>0.8</v>
      </c>
    </row>
    <row r="8" spans="1:11" x14ac:dyDescent="0.2">
      <c r="B8" t="s">
        <v>75</v>
      </c>
      <c r="C8">
        <f>C7/7000</f>
        <v>0.71314285714285719</v>
      </c>
      <c r="D8" t="s">
        <v>23</v>
      </c>
      <c r="I8" t="s">
        <v>4</v>
      </c>
      <c r="J8">
        <v>0.13</v>
      </c>
    </row>
    <row r="9" spans="1:11" x14ac:dyDescent="0.2">
      <c r="B9" t="s">
        <v>129</v>
      </c>
      <c r="C9">
        <f>C7*J13/1000</f>
        <v>1376.8335359999999</v>
      </c>
      <c r="D9" t="s">
        <v>0</v>
      </c>
      <c r="I9" t="s">
        <v>11</v>
      </c>
      <c r="J9">
        <f>J6*J7*J8</f>
        <v>176.8</v>
      </c>
      <c r="K9" t="s">
        <v>2</v>
      </c>
    </row>
    <row r="10" spans="1:11" x14ac:dyDescent="0.2">
      <c r="I10" t="s">
        <v>12</v>
      </c>
      <c r="J10">
        <v>30</v>
      </c>
      <c r="K10" t="s">
        <v>13</v>
      </c>
    </row>
    <row r="11" spans="1:11" x14ac:dyDescent="0.2">
      <c r="A11" t="s">
        <v>22</v>
      </c>
      <c r="B11" t="s">
        <v>5</v>
      </c>
      <c r="C11">
        <v>4.5</v>
      </c>
      <c r="D11" t="s">
        <v>6</v>
      </c>
      <c r="I11" t="s">
        <v>14</v>
      </c>
      <c r="J11">
        <f>J9*J10</f>
        <v>5304</v>
      </c>
      <c r="K11" t="s">
        <v>15</v>
      </c>
    </row>
    <row r="12" spans="1:11" x14ac:dyDescent="0.2">
      <c r="B12" t="s">
        <v>7</v>
      </c>
      <c r="C12">
        <f>C11*365</f>
        <v>1642.5</v>
      </c>
      <c r="D12" t="s">
        <v>8</v>
      </c>
      <c r="I12" t="s">
        <v>16</v>
      </c>
      <c r="J12">
        <f>J11*J5</f>
        <v>275808</v>
      </c>
      <c r="K12" t="s">
        <v>17</v>
      </c>
    </row>
    <row r="13" spans="1:11" x14ac:dyDescent="0.2">
      <c r="B13" t="s">
        <v>128</v>
      </c>
      <c r="C13">
        <v>5.0000000000000001E-3</v>
      </c>
      <c r="J13">
        <f>J12/1000</f>
        <v>275.80799999999999</v>
      </c>
      <c r="K13" t="s">
        <v>19</v>
      </c>
    </row>
    <row r="15" spans="1:11" x14ac:dyDescent="0.2">
      <c r="B15" s="26" t="s">
        <v>92</v>
      </c>
    </row>
    <row r="16" spans="1:11" x14ac:dyDescent="0.2">
      <c r="B16" t="s">
        <v>118</v>
      </c>
      <c r="C16">
        <f>'Beams Info'!G3</f>
        <v>123</v>
      </c>
      <c r="I16" t="s">
        <v>59</v>
      </c>
    </row>
    <row r="17" spans="2:11" x14ac:dyDescent="0.2">
      <c r="B17" t="s">
        <v>119</v>
      </c>
      <c r="C17">
        <f>J19</f>
        <v>1.225804E-2</v>
      </c>
      <c r="D17" t="s">
        <v>24</v>
      </c>
      <c r="I17" t="s">
        <v>32</v>
      </c>
      <c r="J17">
        <f>2*(10*0.5)+2*(9*0.5)</f>
        <v>19</v>
      </c>
      <c r="K17" t="s">
        <v>33</v>
      </c>
    </row>
    <row r="18" spans="2:11" x14ac:dyDescent="0.2">
      <c r="B18" t="s">
        <v>120</v>
      </c>
      <c r="C18">
        <v>3.25</v>
      </c>
      <c r="D18" t="s">
        <v>25</v>
      </c>
      <c r="J18">
        <f>J17*(2.54^2)</f>
        <v>122.5804</v>
      </c>
      <c r="K18" t="s">
        <v>34</v>
      </c>
    </row>
    <row r="19" spans="2:11" x14ac:dyDescent="0.2">
      <c r="B19" t="s">
        <v>42</v>
      </c>
      <c r="C19">
        <f>C16*C17*C18</f>
        <v>4.9001514899999998</v>
      </c>
      <c r="D19" t="s">
        <v>27</v>
      </c>
      <c r="J19">
        <f>J18/10000</f>
        <v>1.225804E-2</v>
      </c>
      <c r="K19" t="s">
        <v>24</v>
      </c>
    </row>
    <row r="20" spans="2:11" x14ac:dyDescent="0.2">
      <c r="B20" t="s">
        <v>38</v>
      </c>
      <c r="C20">
        <f>C16</f>
        <v>123</v>
      </c>
    </row>
    <row r="21" spans="2:11" x14ac:dyDescent="0.2">
      <c r="B21" t="s">
        <v>39</v>
      </c>
      <c r="C21">
        <f>J24</f>
        <v>1.1290300000000001E-2</v>
      </c>
      <c r="D21" t="s">
        <v>24</v>
      </c>
      <c r="I21" t="s">
        <v>37</v>
      </c>
    </row>
    <row r="22" spans="2:11" x14ac:dyDescent="0.2">
      <c r="B22" t="s">
        <v>40</v>
      </c>
      <c r="C22">
        <v>9.91</v>
      </c>
      <c r="D22" t="s">
        <v>25</v>
      </c>
      <c r="I22" t="s">
        <v>32</v>
      </c>
      <c r="J22">
        <f>2*(12*0.5)+(11*0.5)</f>
        <v>17.5</v>
      </c>
      <c r="K22" t="s">
        <v>33</v>
      </c>
    </row>
    <row r="23" spans="2:11" x14ac:dyDescent="0.2">
      <c r="B23" t="s">
        <v>41</v>
      </c>
      <c r="C23">
        <f>C20*C21*C22</f>
        <v>13.762085379</v>
      </c>
      <c r="D23" t="s">
        <v>27</v>
      </c>
      <c r="J23">
        <f>J22*(2.54^2)</f>
        <v>112.90300000000001</v>
      </c>
      <c r="K23" t="s">
        <v>34</v>
      </c>
    </row>
    <row r="24" spans="2:11" x14ac:dyDescent="0.2">
      <c r="B24" t="s">
        <v>47</v>
      </c>
      <c r="C24">
        <f>C20*12</f>
        <v>1476</v>
      </c>
      <c r="D24" t="s">
        <v>48</v>
      </c>
      <c r="J24">
        <f>J23/10000</f>
        <v>1.1290300000000001E-2</v>
      </c>
      <c r="K24" t="s">
        <v>24</v>
      </c>
    </row>
    <row r="25" spans="2:11" x14ac:dyDescent="0.2">
      <c r="B25" t="s">
        <v>49</v>
      </c>
      <c r="C25">
        <f>J29</f>
        <v>2.4193500000000002E-3</v>
      </c>
      <c r="D25" t="s">
        <v>24</v>
      </c>
    </row>
    <row r="26" spans="2:11" x14ac:dyDescent="0.2">
      <c r="B26" t="s">
        <v>50</v>
      </c>
      <c r="C26">
        <v>8.23</v>
      </c>
      <c r="D26" t="s">
        <v>25</v>
      </c>
      <c r="I26" t="s">
        <v>58</v>
      </c>
    </row>
    <row r="27" spans="2:11" x14ac:dyDescent="0.2">
      <c r="B27" t="s">
        <v>51</v>
      </c>
      <c r="C27">
        <f>C24*C25*C26</f>
        <v>29.389005738000005</v>
      </c>
      <c r="I27" t="s">
        <v>32</v>
      </c>
      <c r="J27">
        <f>2*(4*0.25)+2*(3.5*0.25)</f>
        <v>3.75</v>
      </c>
      <c r="K27" t="s">
        <v>33</v>
      </c>
    </row>
    <row r="28" spans="2:11" x14ac:dyDescent="0.2">
      <c r="B28" t="s">
        <v>91</v>
      </c>
      <c r="C28">
        <f>C19+C23+C27</f>
        <v>48.051242607000006</v>
      </c>
      <c r="D28" t="s">
        <v>27</v>
      </c>
      <c r="J28">
        <f>J27*(2.54^2)</f>
        <v>24.1935</v>
      </c>
      <c r="K28" t="s">
        <v>34</v>
      </c>
    </row>
    <row r="29" spans="2:11" x14ac:dyDescent="0.2">
      <c r="B29" t="s">
        <v>35</v>
      </c>
      <c r="C29">
        <v>8050</v>
      </c>
      <c r="D29" t="s">
        <v>36</v>
      </c>
      <c r="J29">
        <f>J28/10000</f>
        <v>2.4193500000000002E-3</v>
      </c>
      <c r="K29" t="s">
        <v>24</v>
      </c>
    </row>
    <row r="30" spans="2:11" x14ac:dyDescent="0.2">
      <c r="B30" t="s">
        <v>43</v>
      </c>
      <c r="C30">
        <f>C28*C29</f>
        <v>386812.50298635004</v>
      </c>
      <c r="D30" t="s">
        <v>44</v>
      </c>
    </row>
    <row r="31" spans="2:11" x14ac:dyDescent="0.2">
      <c r="B31" t="s">
        <v>31</v>
      </c>
      <c r="C31">
        <v>2.54</v>
      </c>
      <c r="D31" t="s">
        <v>45</v>
      </c>
    </row>
    <row r="32" spans="2:11" x14ac:dyDescent="0.2">
      <c r="B32" t="s">
        <v>46</v>
      </c>
      <c r="C32">
        <f>C30*C31/1000</f>
        <v>982.50375758532914</v>
      </c>
      <c r="D32" t="s">
        <v>0</v>
      </c>
    </row>
    <row r="34" spans="2:14" x14ac:dyDescent="0.2">
      <c r="B34" s="26" t="s">
        <v>98</v>
      </c>
    </row>
    <row r="35" spans="2:14" x14ac:dyDescent="0.2">
      <c r="B35" t="s">
        <v>66</v>
      </c>
      <c r="C35">
        <f>C16</f>
        <v>123</v>
      </c>
      <c r="I35" t="s">
        <v>70</v>
      </c>
    </row>
    <row r="36" spans="2:14" x14ac:dyDescent="0.2">
      <c r="B36" t="s">
        <v>63</v>
      </c>
      <c r="C36">
        <f>0.5^2</f>
        <v>0.25</v>
      </c>
      <c r="D36" t="s">
        <v>24</v>
      </c>
      <c r="E36" t="s">
        <v>65</v>
      </c>
      <c r="G36" t="s">
        <v>16</v>
      </c>
      <c r="H36">
        <v>221700</v>
      </c>
      <c r="I36" t="s">
        <v>20</v>
      </c>
      <c r="J36" t="s">
        <v>60</v>
      </c>
    </row>
    <row r="37" spans="2:14" x14ac:dyDescent="0.2">
      <c r="B37" t="s">
        <v>64</v>
      </c>
      <c r="C37">
        <v>0.75</v>
      </c>
      <c r="D37" t="s">
        <v>25</v>
      </c>
      <c r="G37" t="s">
        <v>26</v>
      </c>
      <c r="H37">
        <f>1000*3.7*0.175</f>
        <v>647.5</v>
      </c>
      <c r="I37" t="s">
        <v>27</v>
      </c>
      <c r="J37" t="s">
        <v>61</v>
      </c>
      <c r="L37" t="s">
        <v>71</v>
      </c>
      <c r="N37" t="s">
        <v>72</v>
      </c>
    </row>
    <row r="38" spans="2:14" x14ac:dyDescent="0.2">
      <c r="B38" t="s">
        <v>67</v>
      </c>
      <c r="C38">
        <f>C35*C36*C37</f>
        <v>23.0625</v>
      </c>
      <c r="D38" t="s">
        <v>27</v>
      </c>
      <c r="G38" t="s">
        <v>16</v>
      </c>
      <c r="H38">
        <f>H36/H37</f>
        <v>342.3938223938224</v>
      </c>
      <c r="I38" t="s">
        <v>62</v>
      </c>
    </row>
    <row r="39" spans="2:14" x14ac:dyDescent="0.2">
      <c r="B39" t="s">
        <v>68</v>
      </c>
      <c r="C39">
        <f>H38</f>
        <v>342.3938223938224</v>
      </c>
      <c r="D39" t="s">
        <v>62</v>
      </c>
    </row>
    <row r="40" spans="2:14" x14ac:dyDescent="0.2">
      <c r="B40" t="s">
        <v>69</v>
      </c>
      <c r="C40">
        <f>C38*C39/1000</f>
        <v>7.8964575289575292</v>
      </c>
      <c r="D40" t="s">
        <v>0</v>
      </c>
    </row>
    <row r="43" spans="2:14" x14ac:dyDescent="0.2">
      <c r="B43" s="26" t="s">
        <v>141</v>
      </c>
      <c r="C43" s="26">
        <f>C40+C32+C9</f>
        <v>2367.2337511142864</v>
      </c>
    </row>
    <row r="44" spans="2:14" x14ac:dyDescent="0.2">
      <c r="B44" s="26" t="s">
        <v>133</v>
      </c>
      <c r="C44" s="27">
        <f>C1*C8*1000000</f>
        <v>998400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0495-5ED2-ED49-BF95-10E7E97367B1}">
  <dimension ref="B1:H14"/>
  <sheetViews>
    <sheetView tabSelected="1" workbookViewId="0">
      <selection activeCell="F5" sqref="F5"/>
    </sheetView>
  </sheetViews>
  <sheetFormatPr baseColWidth="10" defaultRowHeight="16" x14ac:dyDescent="0.2"/>
  <cols>
    <col min="2" max="2" width="15.33203125" customWidth="1"/>
    <col min="3" max="3" width="27.5" customWidth="1"/>
    <col min="4" max="4" width="24.6640625" customWidth="1"/>
    <col min="5" max="5" width="22.6640625" customWidth="1"/>
    <col min="6" max="6" width="46.83203125" customWidth="1"/>
  </cols>
  <sheetData>
    <row r="1" spans="2:8" x14ac:dyDescent="0.2">
      <c r="F1" t="s">
        <v>153</v>
      </c>
    </row>
    <row r="2" spans="2:8" x14ac:dyDescent="0.2">
      <c r="B2" s="29"/>
      <c r="C2" s="29" t="s">
        <v>79</v>
      </c>
      <c r="D2" s="29" t="s">
        <v>80</v>
      </c>
      <c r="E2" s="29" t="s">
        <v>81</v>
      </c>
      <c r="F2" s="29" t="s">
        <v>101</v>
      </c>
      <c r="G2" s="29" t="s">
        <v>144</v>
      </c>
      <c r="H2" s="29"/>
    </row>
    <row r="3" spans="2:8" x14ac:dyDescent="0.2">
      <c r="B3" s="29">
        <v>1</v>
      </c>
      <c r="C3" s="29" t="s">
        <v>82</v>
      </c>
      <c r="D3" s="34">
        <v>15</v>
      </c>
      <c r="E3" s="29"/>
      <c r="F3">
        <v>5</v>
      </c>
      <c r="G3" s="29" t="s">
        <v>86</v>
      </c>
      <c r="H3" s="29"/>
    </row>
    <row r="4" spans="2:8" x14ac:dyDescent="0.2">
      <c r="B4" s="29">
        <v>2</v>
      </c>
      <c r="C4" s="29" t="s">
        <v>83</v>
      </c>
      <c r="D4" s="29" t="s">
        <v>93</v>
      </c>
      <c r="E4" s="29"/>
      <c r="F4" t="s">
        <v>154</v>
      </c>
      <c r="G4" s="29" t="s">
        <v>145</v>
      </c>
      <c r="H4" s="29"/>
    </row>
    <row r="5" spans="2:8" x14ac:dyDescent="0.2">
      <c r="B5" s="29">
        <v>3</v>
      </c>
      <c r="C5" s="29" t="s">
        <v>84</v>
      </c>
      <c r="D5" s="29" t="s">
        <v>94</v>
      </c>
      <c r="E5" s="29"/>
      <c r="F5" t="s">
        <v>103</v>
      </c>
      <c r="G5" s="29" t="s">
        <v>148</v>
      </c>
      <c r="H5" s="29"/>
    </row>
    <row r="6" spans="2:8" x14ac:dyDescent="0.2">
      <c r="B6" s="29">
        <v>4</v>
      </c>
      <c r="C6" s="29" t="s">
        <v>85</v>
      </c>
      <c r="D6" s="29" t="s">
        <v>95</v>
      </c>
      <c r="E6" s="29"/>
      <c r="F6" t="s">
        <v>104</v>
      </c>
      <c r="G6" s="29" t="s">
        <v>86</v>
      </c>
      <c r="H6" s="29"/>
    </row>
    <row r="7" spans="2:8" x14ac:dyDescent="0.2">
      <c r="B7" s="29">
        <v>5</v>
      </c>
      <c r="C7" s="29" t="s">
        <v>87</v>
      </c>
      <c r="D7" s="29" t="s">
        <v>96</v>
      </c>
      <c r="E7" s="29" t="s">
        <v>88</v>
      </c>
      <c r="F7" s="29" t="s">
        <v>102</v>
      </c>
      <c r="G7" s="29" t="s">
        <v>146</v>
      </c>
      <c r="H7" s="29"/>
    </row>
    <row r="8" spans="2:8" x14ac:dyDescent="0.2">
      <c r="B8" s="29" t="s">
        <v>89</v>
      </c>
      <c r="C8" s="29" t="s">
        <v>90</v>
      </c>
      <c r="D8" s="29" t="s">
        <v>97</v>
      </c>
      <c r="E8" s="29"/>
      <c r="F8" s="29" t="s">
        <v>105</v>
      </c>
      <c r="G8" s="29" t="s">
        <v>147</v>
      </c>
      <c r="H8" s="29"/>
    </row>
    <row r="9" spans="2:8" x14ac:dyDescent="0.2">
      <c r="C9" s="29" t="s">
        <v>136</v>
      </c>
      <c r="D9" s="29" t="s">
        <v>137</v>
      </c>
      <c r="F9" t="s">
        <v>138</v>
      </c>
      <c r="G9" s="29" t="s">
        <v>139</v>
      </c>
    </row>
    <row r="13" spans="2:8" x14ac:dyDescent="0.2">
      <c r="B13" t="s">
        <v>106</v>
      </c>
      <c r="C13">
        <v>12</v>
      </c>
      <c r="D13" s="29" t="s">
        <v>122</v>
      </c>
    </row>
    <row r="14" spans="2:8" x14ac:dyDescent="0.2">
      <c r="B14" t="s">
        <v>107</v>
      </c>
      <c r="C14" s="29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8F7C-88D3-4F45-A8D9-A21C8A48706B}">
  <dimension ref="B1:H42"/>
  <sheetViews>
    <sheetView workbookViewId="0">
      <selection activeCell="G16" sqref="G16"/>
    </sheetView>
  </sheetViews>
  <sheetFormatPr baseColWidth="10" defaultRowHeight="16" x14ac:dyDescent="0.2"/>
  <cols>
    <col min="2" max="2" width="18.83203125" customWidth="1"/>
    <col min="6" max="6" width="17" customWidth="1"/>
  </cols>
  <sheetData>
    <row r="1" spans="2:8" x14ac:dyDescent="0.2">
      <c r="B1" s="26" t="s">
        <v>114</v>
      </c>
    </row>
    <row r="2" spans="2:8" x14ac:dyDescent="0.2">
      <c r="B2" s="26">
        <v>2</v>
      </c>
      <c r="F2" t="s">
        <v>115</v>
      </c>
    </row>
    <row r="3" spans="2:8" x14ac:dyDescent="0.2">
      <c r="B3" t="s">
        <v>109</v>
      </c>
      <c r="C3">
        <f>3*B2</f>
        <v>6</v>
      </c>
      <c r="F3" t="s">
        <v>116</v>
      </c>
      <c r="G3">
        <f>(C4*$C$7)+C11*$C$14+C25*$C$28+C32*$C$35+C39*$C$42+C18*C21</f>
        <v>123</v>
      </c>
    </row>
    <row r="4" spans="2:8" x14ac:dyDescent="0.2">
      <c r="B4" t="s">
        <v>110</v>
      </c>
      <c r="C4">
        <f>B2+1</f>
        <v>3</v>
      </c>
      <c r="F4" t="s">
        <v>117</v>
      </c>
      <c r="G4">
        <f>(C5*$C$7)+C12*$C$14+C26*$C$28+C33*$C$35+C40*$C$42+C19*C21</f>
        <v>123</v>
      </c>
    </row>
    <row r="5" spans="2:8" x14ac:dyDescent="0.2">
      <c r="B5" t="s">
        <v>111</v>
      </c>
      <c r="C5">
        <f>C4</f>
        <v>3</v>
      </c>
      <c r="F5" t="s">
        <v>112</v>
      </c>
      <c r="G5">
        <f>(C6*$C$7)+C13*$C$14+C27*$C$28+C34*$C$35+C41*$C$42+C20*C21</f>
        <v>1476</v>
      </c>
    </row>
    <row r="6" spans="2:8" x14ac:dyDescent="0.2">
      <c r="B6" t="s">
        <v>112</v>
      </c>
      <c r="C6">
        <f>12*C5</f>
        <v>36</v>
      </c>
      <c r="F6" t="s">
        <v>121</v>
      </c>
      <c r="G6">
        <f>(C7*B2)+C14*B9+C28*B23+C35*B30+C42*B37+B16*C21</f>
        <v>100</v>
      </c>
    </row>
    <row r="7" spans="2:8" x14ac:dyDescent="0.2">
      <c r="B7" t="s">
        <v>113</v>
      </c>
      <c r="C7">
        <v>2</v>
      </c>
      <c r="F7" t="s">
        <v>123</v>
      </c>
      <c r="G7">
        <v>4</v>
      </c>
      <c r="H7" t="s">
        <v>124</v>
      </c>
    </row>
    <row r="8" spans="2:8" x14ac:dyDescent="0.2">
      <c r="F8" t="s">
        <v>125</v>
      </c>
      <c r="G8">
        <f>G6+G7</f>
        <v>104</v>
      </c>
    </row>
    <row r="9" spans="2:8" x14ac:dyDescent="0.2">
      <c r="B9" s="26">
        <v>3</v>
      </c>
    </row>
    <row r="10" spans="2:8" x14ac:dyDescent="0.2">
      <c r="B10" t="s">
        <v>109</v>
      </c>
      <c r="C10">
        <f>3*B9</f>
        <v>9</v>
      </c>
    </row>
    <row r="11" spans="2:8" x14ac:dyDescent="0.2">
      <c r="B11" t="s">
        <v>110</v>
      </c>
      <c r="C11">
        <f>B9+1</f>
        <v>4</v>
      </c>
    </row>
    <row r="12" spans="2:8" x14ac:dyDescent="0.2">
      <c r="B12" t="s">
        <v>111</v>
      </c>
      <c r="C12">
        <f>C11</f>
        <v>4</v>
      </c>
    </row>
    <row r="13" spans="2:8" x14ac:dyDescent="0.2">
      <c r="B13" t="s">
        <v>112</v>
      </c>
      <c r="C13">
        <f>12*C12</f>
        <v>48</v>
      </c>
    </row>
    <row r="14" spans="2:8" x14ac:dyDescent="0.2">
      <c r="B14" t="s">
        <v>113</v>
      </c>
      <c r="C14">
        <v>9</v>
      </c>
    </row>
    <row r="16" spans="2:8" x14ac:dyDescent="0.2">
      <c r="B16" s="26">
        <v>4</v>
      </c>
    </row>
    <row r="17" spans="2:3" x14ac:dyDescent="0.2">
      <c r="B17" t="s">
        <v>109</v>
      </c>
      <c r="C17">
        <f>3*B16</f>
        <v>12</v>
      </c>
    </row>
    <row r="18" spans="2:3" x14ac:dyDescent="0.2">
      <c r="B18" t="s">
        <v>110</v>
      </c>
      <c r="C18">
        <f>B16+1</f>
        <v>5</v>
      </c>
    </row>
    <row r="19" spans="2:3" x14ac:dyDescent="0.2">
      <c r="B19" t="s">
        <v>111</v>
      </c>
      <c r="C19">
        <f>C18</f>
        <v>5</v>
      </c>
    </row>
    <row r="20" spans="2:3" x14ac:dyDescent="0.2">
      <c r="B20" t="s">
        <v>112</v>
      </c>
      <c r="C20">
        <f>12*C19</f>
        <v>60</v>
      </c>
    </row>
    <row r="21" spans="2:3" x14ac:dyDescent="0.2">
      <c r="B21" t="s">
        <v>113</v>
      </c>
      <c r="C21">
        <v>1</v>
      </c>
    </row>
    <row r="23" spans="2:3" x14ac:dyDescent="0.2">
      <c r="B23" s="26">
        <v>5</v>
      </c>
    </row>
    <row r="24" spans="2:3" x14ac:dyDescent="0.2">
      <c r="B24" t="s">
        <v>109</v>
      </c>
      <c r="C24">
        <f>3*B23</f>
        <v>15</v>
      </c>
    </row>
    <row r="25" spans="2:3" x14ac:dyDescent="0.2">
      <c r="B25" t="s">
        <v>110</v>
      </c>
      <c r="C25">
        <f>B23+1</f>
        <v>6</v>
      </c>
    </row>
    <row r="26" spans="2:3" x14ac:dyDescent="0.2">
      <c r="B26" t="s">
        <v>111</v>
      </c>
      <c r="C26">
        <f>C25</f>
        <v>6</v>
      </c>
    </row>
    <row r="27" spans="2:3" x14ac:dyDescent="0.2">
      <c r="B27" t="s">
        <v>112</v>
      </c>
      <c r="C27">
        <f>12*C26</f>
        <v>72</v>
      </c>
    </row>
    <row r="28" spans="2:3" x14ac:dyDescent="0.2">
      <c r="B28" t="s">
        <v>113</v>
      </c>
      <c r="C28">
        <v>5</v>
      </c>
    </row>
    <row r="30" spans="2:3" x14ac:dyDescent="0.2">
      <c r="B30" s="26">
        <v>6</v>
      </c>
    </row>
    <row r="31" spans="2:3" x14ac:dyDescent="0.2">
      <c r="B31" t="s">
        <v>109</v>
      </c>
      <c r="C31">
        <f>3*B30</f>
        <v>18</v>
      </c>
    </row>
    <row r="32" spans="2:3" x14ac:dyDescent="0.2">
      <c r="B32" t="s">
        <v>110</v>
      </c>
      <c r="C32">
        <f>B30+1</f>
        <v>7</v>
      </c>
    </row>
    <row r="33" spans="2:3" x14ac:dyDescent="0.2">
      <c r="B33" t="s">
        <v>111</v>
      </c>
      <c r="C33">
        <f>C32</f>
        <v>7</v>
      </c>
    </row>
    <row r="34" spans="2:3" x14ac:dyDescent="0.2">
      <c r="B34" t="s">
        <v>112</v>
      </c>
      <c r="C34">
        <f>12*C33</f>
        <v>84</v>
      </c>
    </row>
    <row r="35" spans="2:3" x14ac:dyDescent="0.2">
      <c r="B35" t="s">
        <v>113</v>
      </c>
      <c r="C35">
        <v>2</v>
      </c>
    </row>
    <row r="37" spans="2:3" x14ac:dyDescent="0.2">
      <c r="B37" s="26">
        <v>7</v>
      </c>
    </row>
    <row r="38" spans="2:3" x14ac:dyDescent="0.2">
      <c r="B38" t="s">
        <v>109</v>
      </c>
      <c r="C38">
        <f>3*B37</f>
        <v>21</v>
      </c>
    </row>
    <row r="39" spans="2:3" x14ac:dyDescent="0.2">
      <c r="B39" t="s">
        <v>110</v>
      </c>
      <c r="C39">
        <f>B37+1</f>
        <v>8</v>
      </c>
    </row>
    <row r="40" spans="2:3" x14ac:dyDescent="0.2">
      <c r="B40" t="s">
        <v>111</v>
      </c>
      <c r="C40">
        <f>C39</f>
        <v>8</v>
      </c>
    </row>
    <row r="41" spans="2:3" x14ac:dyDescent="0.2">
      <c r="B41" t="s">
        <v>112</v>
      </c>
      <c r="C41">
        <f>12*C40</f>
        <v>96</v>
      </c>
    </row>
    <row r="42" spans="2:3" x14ac:dyDescent="0.2">
      <c r="B42" t="s">
        <v>113</v>
      </c>
      <c r="C4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Emissions + Cost</vt:lpstr>
      <vt:lpstr>LCI</vt:lpstr>
      <vt:lpstr>Parking Lot Info</vt:lpstr>
      <vt:lpstr>Beams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2019-02-19T19:06:46Z</dcterms:created>
  <dcterms:modified xsi:type="dcterms:W3CDTF">2020-04-04T18:55:50Z</dcterms:modified>
</cp:coreProperties>
</file>