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showInkAnnotation="0"/>
  <mc:AlternateContent xmlns:mc="http://schemas.openxmlformats.org/markup-compatibility/2006">
    <mc:Choice Requires="x15">
      <x15ac:absPath xmlns:x15ac="http://schemas.microsoft.com/office/spreadsheetml/2010/11/ac" url="/Users/mikaelcarlsson/Desktop/"/>
    </mc:Choice>
  </mc:AlternateContent>
  <bookViews>
    <workbookView xWindow="4620" yWindow="1680" windowWidth="41160" windowHeight="23340" tabRatio="500" activeTab="1"/>
  </bookViews>
  <sheets>
    <sheet name="Direct" sheetId="1" r:id="rId1"/>
    <sheet name="Diapause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2" l="1"/>
  <c r="G57" i="2"/>
  <c r="I57" i="2"/>
  <c r="F58" i="2"/>
  <c r="G58" i="2"/>
  <c r="I58" i="2"/>
  <c r="F59" i="2"/>
  <c r="F60" i="2"/>
  <c r="F61" i="2"/>
  <c r="G61" i="2"/>
  <c r="I61" i="2"/>
  <c r="F64" i="2"/>
  <c r="G64" i="2"/>
  <c r="I64" i="2"/>
  <c r="F65" i="2"/>
  <c r="F66" i="2"/>
  <c r="I66" i="2"/>
  <c r="F67" i="2"/>
  <c r="G67" i="2"/>
  <c r="F68" i="2"/>
  <c r="F72" i="2"/>
  <c r="L112" i="2"/>
  <c r="D46" i="1"/>
  <c r="E46" i="1"/>
  <c r="F46" i="1"/>
  <c r="E27" i="1"/>
  <c r="F27" i="1"/>
  <c r="D45" i="1"/>
  <c r="E45" i="1"/>
  <c r="F45" i="1"/>
  <c r="J45" i="1"/>
  <c r="D44" i="1"/>
  <c r="E44" i="1"/>
  <c r="F44" i="1"/>
  <c r="G44" i="1"/>
  <c r="I44" i="1"/>
  <c r="D18" i="2"/>
  <c r="I49" i="2"/>
  <c r="D18" i="1"/>
  <c r="E18" i="1"/>
  <c r="F18" i="1"/>
  <c r="D19" i="1"/>
  <c r="E19" i="1"/>
  <c r="F19" i="1"/>
  <c r="H19" i="1"/>
  <c r="I19" i="1"/>
  <c r="D20" i="1"/>
  <c r="E20" i="1"/>
  <c r="F20" i="1"/>
  <c r="I20" i="1"/>
  <c r="D21" i="1"/>
  <c r="E21" i="1"/>
  <c r="F21" i="1"/>
  <c r="H21" i="1"/>
  <c r="I21" i="1"/>
  <c r="D22" i="1"/>
  <c r="E22" i="1"/>
  <c r="F22" i="1"/>
  <c r="D27" i="1"/>
  <c r="D28" i="1"/>
  <c r="E28" i="1"/>
  <c r="F28" i="1"/>
  <c r="G28" i="1"/>
  <c r="I28" i="1"/>
  <c r="J28" i="1"/>
  <c r="D29" i="1"/>
  <c r="E29" i="1"/>
  <c r="F29" i="1"/>
  <c r="J29" i="1"/>
  <c r="D30" i="1"/>
  <c r="E30" i="1"/>
  <c r="F30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42" i="1"/>
  <c r="E42" i="1"/>
  <c r="F42" i="1"/>
  <c r="D43" i="1"/>
  <c r="E43" i="1"/>
  <c r="F43" i="1"/>
  <c r="D11" i="1"/>
  <c r="E11" i="1"/>
  <c r="F11" i="1"/>
  <c r="H11" i="1"/>
  <c r="I11" i="1"/>
  <c r="D12" i="1"/>
  <c r="E12" i="1"/>
  <c r="F12" i="1"/>
  <c r="D13" i="1"/>
  <c r="E13" i="1"/>
  <c r="F13" i="1"/>
  <c r="D14" i="1"/>
  <c r="E14" i="1"/>
  <c r="F14" i="1"/>
  <c r="H14" i="1"/>
  <c r="I14" i="1"/>
  <c r="F10" i="1"/>
  <c r="E10" i="1"/>
  <c r="D10" i="1"/>
  <c r="D14" i="2"/>
  <c r="E14" i="2"/>
  <c r="F14" i="2"/>
  <c r="D76" i="2"/>
  <c r="E76" i="2"/>
  <c r="F76" i="2"/>
  <c r="D68" i="2"/>
  <c r="E68" i="2"/>
  <c r="D85" i="2"/>
  <c r="E85" i="2"/>
  <c r="F85" i="2"/>
  <c r="J85" i="2"/>
  <c r="F84" i="2"/>
  <c r="E84" i="2"/>
  <c r="D84" i="2"/>
  <c r="D83" i="2"/>
  <c r="E83" i="2"/>
  <c r="F83" i="2"/>
  <c r="G83" i="2"/>
  <c r="J82" i="2"/>
  <c r="I82" i="2"/>
  <c r="G82" i="2"/>
  <c r="F82" i="2"/>
  <c r="E82" i="2"/>
  <c r="D82" i="2"/>
  <c r="D75" i="2"/>
  <c r="E75" i="2"/>
  <c r="F75" i="2"/>
  <c r="D74" i="2"/>
  <c r="E74" i="2"/>
  <c r="F74" i="2"/>
  <c r="D73" i="2"/>
  <c r="E73" i="2"/>
  <c r="F73" i="2"/>
  <c r="D72" i="2"/>
  <c r="E72" i="2"/>
  <c r="D67" i="2"/>
  <c r="E67" i="2"/>
  <c r="D66" i="2"/>
  <c r="E66" i="2"/>
  <c r="D61" i="2"/>
  <c r="E61" i="2"/>
  <c r="D65" i="2"/>
  <c r="E65" i="2"/>
  <c r="D64" i="2"/>
  <c r="E64" i="2"/>
  <c r="D60" i="2"/>
  <c r="E60" i="2"/>
  <c r="D59" i="2"/>
  <c r="E59" i="2"/>
  <c r="D58" i="2"/>
  <c r="E58" i="2"/>
  <c r="D57" i="2"/>
  <c r="E57" i="2"/>
  <c r="D53" i="2"/>
  <c r="E53" i="2"/>
  <c r="F53" i="2"/>
  <c r="G53" i="2"/>
  <c r="I53" i="2"/>
  <c r="D52" i="2"/>
  <c r="E52" i="2"/>
  <c r="F52" i="2"/>
  <c r="D51" i="2"/>
  <c r="E51" i="2"/>
  <c r="F51" i="2"/>
  <c r="G51" i="2"/>
  <c r="I51" i="2"/>
  <c r="F49" i="2"/>
  <c r="E49" i="2"/>
  <c r="E50" i="2"/>
  <c r="D49" i="2"/>
  <c r="D50" i="2"/>
  <c r="F50" i="2"/>
  <c r="G50" i="2"/>
  <c r="I50" i="2"/>
  <c r="D46" i="2"/>
  <c r="E46" i="2"/>
  <c r="F46" i="2"/>
  <c r="D45" i="2"/>
  <c r="E45" i="2"/>
  <c r="F45" i="2"/>
  <c r="D44" i="2"/>
  <c r="E44" i="2"/>
  <c r="F44" i="2"/>
  <c r="E43" i="2"/>
  <c r="D43" i="2"/>
  <c r="F43" i="2"/>
  <c r="D42" i="2"/>
  <c r="E42" i="2"/>
  <c r="F42" i="2"/>
  <c r="D38" i="2"/>
  <c r="E38" i="2"/>
  <c r="F38" i="2"/>
  <c r="F37" i="2"/>
  <c r="E37" i="2"/>
  <c r="D37" i="2"/>
  <c r="D36" i="2"/>
  <c r="E36" i="2"/>
  <c r="F36" i="2"/>
  <c r="G36" i="2"/>
  <c r="H36" i="2"/>
  <c r="I36" i="2"/>
  <c r="J36" i="2"/>
  <c r="F35" i="2"/>
  <c r="E35" i="2"/>
  <c r="D35" i="2"/>
  <c r="G34" i="2"/>
  <c r="D34" i="2"/>
  <c r="E34" i="2"/>
  <c r="F34" i="2"/>
  <c r="D22" i="2"/>
  <c r="E22" i="2"/>
  <c r="F22" i="2"/>
  <c r="G22" i="2"/>
  <c r="J22" i="2"/>
  <c r="D21" i="2"/>
  <c r="E21" i="2"/>
  <c r="F21" i="2"/>
  <c r="G21" i="2"/>
  <c r="I21" i="2"/>
  <c r="L21" i="2"/>
  <c r="D30" i="2"/>
  <c r="E30" i="2"/>
  <c r="F30" i="2"/>
  <c r="D29" i="2"/>
  <c r="E29" i="2"/>
  <c r="F29" i="2"/>
  <c r="G29" i="2"/>
  <c r="F28" i="2"/>
  <c r="E28" i="2"/>
  <c r="D28" i="2"/>
  <c r="F10" i="2"/>
  <c r="E10" i="2"/>
  <c r="D10" i="2"/>
  <c r="D13" i="2"/>
  <c r="E13" i="2"/>
  <c r="F13" i="2"/>
  <c r="I13" i="2"/>
  <c r="F11" i="2"/>
  <c r="E11" i="2"/>
  <c r="D11" i="2"/>
  <c r="F12" i="2"/>
  <c r="E12" i="2"/>
  <c r="D12" i="2"/>
  <c r="F27" i="2"/>
  <c r="E27" i="2"/>
  <c r="D27" i="2"/>
  <c r="G20" i="2"/>
  <c r="F20" i="2"/>
  <c r="E20" i="2"/>
  <c r="D20" i="2"/>
  <c r="I19" i="2"/>
  <c r="H19" i="2"/>
  <c r="G19" i="2"/>
  <c r="F19" i="2"/>
  <c r="E19" i="2"/>
  <c r="D19" i="2"/>
  <c r="F18" i="2"/>
  <c r="E18" i="2"/>
  <c r="I12" i="2"/>
  <c r="H12" i="2"/>
</calcChain>
</file>

<file path=xl/sharedStrings.xml><?xml version="1.0" encoding="utf-8"?>
<sst xmlns="http://schemas.openxmlformats.org/spreadsheetml/2006/main" count="119" uniqueCount="30">
  <si>
    <t>P0</t>
  </si>
  <si>
    <t>P3</t>
  </si>
  <si>
    <t>P6</t>
  </si>
  <si>
    <t>P9</t>
  </si>
  <si>
    <t>Adult</t>
  </si>
  <si>
    <t>Whole brain</t>
  </si>
  <si>
    <t>Animal</t>
  </si>
  <si>
    <t>Stage</t>
  </si>
  <si>
    <t>Med</t>
  </si>
  <si>
    <t>LoP</t>
  </si>
  <si>
    <t>Lob</t>
  </si>
  <si>
    <t>AOTU</t>
  </si>
  <si>
    <t>AL</t>
  </si>
  <si>
    <t>CB</t>
  </si>
  <si>
    <t>MBCX</t>
  </si>
  <si>
    <t>MBL</t>
  </si>
  <si>
    <t>PCB</t>
  </si>
  <si>
    <t>All structures x 2 except CB (if only one labelled multiply)</t>
  </si>
  <si>
    <t>3(kallas 4)</t>
  </si>
  <si>
    <t>4 (kalls 3)</t>
  </si>
  <si>
    <t>no SOG</t>
  </si>
  <si>
    <t>4 (new 1)</t>
  </si>
  <si>
    <t>P69</t>
  </si>
  <si>
    <t>P114</t>
  </si>
  <si>
    <t>new3</t>
  </si>
  <si>
    <t>new 1</t>
  </si>
  <si>
    <t>new 2</t>
  </si>
  <si>
    <t>P148</t>
  </si>
  <si>
    <t>P152</t>
  </si>
  <si>
    <t>P158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</si>
</sst>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3" fillId="0" borderId="0" xfId="0" applyFont="1"/>
    <xf numFmtId="0" fontId="0" fillId="2" borderId="0" xfId="0" applyFill="1"/>
    <xf numFmtId="0" fontId="4" fillId="0" borderId="0" xfId="0" applyFont="1"/>
    <xf numFmtId="0" fontId="0" fillId="0" borderId="0" xfId="0" applyFill="1"/>
  </cellXfs>
  <cellStyles count="86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Följd hyperlänk" xfId="828" builtinId="9" hidden="1"/>
    <cellStyle name="Följd hyperlänk" xfId="830" builtinId="9" hidden="1"/>
    <cellStyle name="Följd hyperlänk" xfId="832" builtinId="9" hidden="1"/>
    <cellStyle name="Följd hyperlänk" xfId="834" builtinId="9" hidden="1"/>
    <cellStyle name="Följd hyperlänk" xfId="836" builtinId="9" hidden="1"/>
    <cellStyle name="Följd hyperlänk" xfId="838" builtinId="9" hidden="1"/>
    <cellStyle name="Följd hyperlänk" xfId="840" builtinId="9" hidden="1"/>
    <cellStyle name="Följd hyperlänk" xfId="842" builtinId="9" hidden="1"/>
    <cellStyle name="Följd hyperlänk" xfId="844" builtinId="9" hidden="1"/>
    <cellStyle name="Följd hyperlänk" xfId="846" builtinId="9" hidden="1"/>
    <cellStyle name="Följd hyperlänk" xfId="848" builtinId="9" hidden="1"/>
    <cellStyle name="Följd hyperlänk" xfId="850" builtinId="9" hidden="1"/>
    <cellStyle name="Följd hyperlänk" xfId="852" builtinId="9" hidden="1"/>
    <cellStyle name="Följd hyperlänk" xfId="854" builtinId="9" hidden="1"/>
    <cellStyle name="Följd hyperlänk" xfId="856" builtinId="9" hidden="1"/>
    <cellStyle name="Följd hyperlänk" xfId="858" builtinId="9" hidden="1"/>
    <cellStyle name="Följd hyperlänk" xfId="860" builtinId="9" hidden="1"/>
    <cellStyle name="Följd hyperlänk" xfId="86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Hyperlänk" xfId="827" builtinId="8" hidden="1"/>
    <cellStyle name="Hyperlänk" xfId="829" builtinId="8" hidden="1"/>
    <cellStyle name="Hyperlänk" xfId="831" builtinId="8" hidden="1"/>
    <cellStyle name="Hyperlänk" xfId="833" builtinId="8" hidden="1"/>
    <cellStyle name="Hyperlänk" xfId="835" builtinId="8" hidden="1"/>
    <cellStyle name="Hyperlänk" xfId="837" builtinId="8" hidden="1"/>
    <cellStyle name="Hyperlänk" xfId="839" builtinId="8" hidden="1"/>
    <cellStyle name="Hyperlänk" xfId="841" builtinId="8" hidden="1"/>
    <cellStyle name="Hyperlänk" xfId="843" builtinId="8" hidden="1"/>
    <cellStyle name="Hyperlänk" xfId="845" builtinId="8" hidden="1"/>
    <cellStyle name="Hyperlänk" xfId="847" builtinId="8" hidden="1"/>
    <cellStyle name="Hyperlänk" xfId="849" builtinId="8" hidden="1"/>
    <cellStyle name="Hyperlänk" xfId="851" builtinId="8" hidden="1"/>
    <cellStyle name="Hyperlänk" xfId="853" builtinId="8" hidden="1"/>
    <cellStyle name="Hyperlänk" xfId="855" builtinId="8" hidden="1"/>
    <cellStyle name="Hyperlänk" xfId="857" builtinId="8" hidden="1"/>
    <cellStyle name="Hyperlänk" xfId="859" builtinId="8" hidden="1"/>
    <cellStyle name="Hyperlänk" xfId="86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topLeftCell="A50" zoomScale="179" zoomScaleNormal="179" zoomScalePageLayoutView="179" workbookViewId="0">
      <selection activeCell="V15" sqref="V15"/>
    </sheetView>
  </sheetViews>
  <sheetFormatPr baseColWidth="10" defaultRowHeight="16" x14ac:dyDescent="0.2"/>
  <cols>
    <col min="18" max="18" width="11" bestFit="1" customWidth="1"/>
  </cols>
  <sheetData>
    <row r="2" spans="1:12" x14ac:dyDescent="0.2">
      <c r="A2" s="3" t="s">
        <v>20</v>
      </c>
      <c r="C2" t="s">
        <v>17</v>
      </c>
    </row>
    <row r="8" spans="1:12" x14ac:dyDescent="0.2">
      <c r="A8" t="s">
        <v>6</v>
      </c>
      <c r="B8" t="s">
        <v>7</v>
      </c>
      <c r="C8" t="s">
        <v>5</v>
      </c>
      <c r="D8" t="s">
        <v>8</v>
      </c>
      <c r="E8" t="s">
        <v>9</v>
      </c>
      <c r="F8" t="s">
        <v>10</v>
      </c>
      <c r="G8" t="s">
        <v>11</v>
      </c>
      <c r="H8" t="s">
        <v>14</v>
      </c>
      <c r="I8" t="s">
        <v>15</v>
      </c>
      <c r="J8" t="s">
        <v>12</v>
      </c>
      <c r="K8" t="s">
        <v>13</v>
      </c>
      <c r="L8" t="s">
        <v>16</v>
      </c>
    </row>
    <row r="9" spans="1:12" x14ac:dyDescent="0.2">
      <c r="B9" t="s">
        <v>0</v>
      </c>
    </row>
    <row r="10" spans="1:12" x14ac:dyDescent="0.2">
      <c r="A10">
        <v>1</v>
      </c>
      <c r="C10" s="3">
        <v>33662897</v>
      </c>
      <c r="D10">
        <f>807414*2</f>
        <v>1614828</v>
      </c>
      <c r="E10">
        <f>159418*2</f>
        <v>318836</v>
      </c>
      <c r="F10">
        <f>92637*2</f>
        <v>185274</v>
      </c>
      <c r="H10">
        <v>59357</v>
      </c>
      <c r="I10">
        <v>103917</v>
      </c>
      <c r="K10">
        <v>60013</v>
      </c>
      <c r="L10">
        <v>24051</v>
      </c>
    </row>
    <row r="11" spans="1:12" x14ac:dyDescent="0.2">
      <c r="A11">
        <v>2</v>
      </c>
      <c r="C11" s="3">
        <v>36129259</v>
      </c>
      <c r="D11">
        <f>678357*2</f>
        <v>1356714</v>
      </c>
      <c r="E11">
        <f>205193*2</f>
        <v>410386</v>
      </c>
      <c r="F11">
        <f>80245*2</f>
        <v>160490</v>
      </c>
      <c r="H11">
        <f>17926*2</f>
        <v>35852</v>
      </c>
      <c r="I11">
        <f>28145*2</f>
        <v>56290</v>
      </c>
      <c r="K11">
        <v>67386</v>
      </c>
      <c r="L11">
        <v>15251</v>
      </c>
    </row>
    <row r="12" spans="1:12" x14ac:dyDescent="0.2">
      <c r="A12">
        <v>4</v>
      </c>
      <c r="C12" s="3">
        <v>36496772</v>
      </c>
      <c r="D12">
        <f>785620*2</f>
        <v>1571240</v>
      </c>
      <c r="E12">
        <f>124728*2</f>
        <v>249456</v>
      </c>
      <c r="F12">
        <f>67562*2</f>
        <v>135124</v>
      </c>
      <c r="H12">
        <v>50683</v>
      </c>
      <c r="I12">
        <v>60042</v>
      </c>
      <c r="L12">
        <v>19244</v>
      </c>
    </row>
    <row r="13" spans="1:12" x14ac:dyDescent="0.2">
      <c r="A13">
        <v>3</v>
      </c>
      <c r="C13" s="3">
        <v>33355189</v>
      </c>
      <c r="D13">
        <f>426995*2</f>
        <v>853990</v>
      </c>
      <c r="E13">
        <f>119382*2</f>
        <v>238764</v>
      </c>
      <c r="F13">
        <f>57247*2</f>
        <v>114494</v>
      </c>
      <c r="H13">
        <v>95687</v>
      </c>
      <c r="I13">
        <v>83579</v>
      </c>
      <c r="K13">
        <v>55740</v>
      </c>
      <c r="L13">
        <v>24416</v>
      </c>
    </row>
    <row r="14" spans="1:12" x14ac:dyDescent="0.2">
      <c r="A14">
        <v>6</v>
      </c>
      <c r="C14" s="3">
        <v>40287216</v>
      </c>
      <c r="D14">
        <f>704176*2</f>
        <v>1408352</v>
      </c>
      <c r="E14">
        <f>149098*2</f>
        <v>298196</v>
      </c>
      <c r="F14">
        <f>55575*2</f>
        <v>111150</v>
      </c>
      <c r="H14">
        <f>27873*2</f>
        <v>55746</v>
      </c>
      <c r="I14">
        <f>28359*2</f>
        <v>56718</v>
      </c>
      <c r="K14">
        <v>78636</v>
      </c>
      <c r="L14">
        <v>13198</v>
      </c>
    </row>
    <row r="17" spans="1:16" x14ac:dyDescent="0.2">
      <c r="B17" s="2" t="s">
        <v>1</v>
      </c>
      <c r="C17" t="s">
        <v>5</v>
      </c>
      <c r="D17" t="s">
        <v>8</v>
      </c>
      <c r="E17" t="s">
        <v>9</v>
      </c>
      <c r="F17" t="s">
        <v>10</v>
      </c>
      <c r="G17" t="s">
        <v>11</v>
      </c>
      <c r="H17" t="s">
        <v>14</v>
      </c>
      <c r="I17" t="s">
        <v>15</v>
      </c>
      <c r="J17" t="s">
        <v>12</v>
      </c>
      <c r="K17" t="s">
        <v>13</v>
      </c>
      <c r="L17" t="s">
        <v>16</v>
      </c>
    </row>
    <row r="18" spans="1:16" x14ac:dyDescent="0.2">
      <c r="A18">
        <v>1</v>
      </c>
      <c r="C18">
        <v>66611072</v>
      </c>
      <c r="D18">
        <f>3330519*2</f>
        <v>6661038</v>
      </c>
      <c r="E18">
        <f>474529*2</f>
        <v>949058</v>
      </c>
      <c r="F18">
        <f>549280*2</f>
        <v>1098560</v>
      </c>
      <c r="G18">
        <v>108304</v>
      </c>
      <c r="H18">
        <v>116392</v>
      </c>
      <c r="I18">
        <v>172559</v>
      </c>
      <c r="J18">
        <v>156248</v>
      </c>
      <c r="K18">
        <v>140109</v>
      </c>
      <c r="L18">
        <v>36096</v>
      </c>
    </row>
    <row r="19" spans="1:16" x14ac:dyDescent="0.2">
      <c r="A19">
        <v>2</v>
      </c>
      <c r="C19">
        <v>48988354</v>
      </c>
      <c r="D19">
        <f>2399046*2</f>
        <v>4798092</v>
      </c>
      <c r="E19">
        <f>299850*2</f>
        <v>599700</v>
      </c>
      <c r="F19">
        <f>322666*2</f>
        <v>645332</v>
      </c>
      <c r="G19">
        <v>64360</v>
      </c>
      <c r="H19">
        <f>33330*2</f>
        <v>66660</v>
      </c>
      <c r="I19">
        <f>47842*2</f>
        <v>95684</v>
      </c>
      <c r="J19">
        <v>95713</v>
      </c>
      <c r="K19">
        <v>129701</v>
      </c>
      <c r="L19">
        <v>25745</v>
      </c>
    </row>
    <row r="20" spans="1:16" x14ac:dyDescent="0.2">
      <c r="A20">
        <v>3</v>
      </c>
      <c r="C20">
        <v>61973496</v>
      </c>
      <c r="D20">
        <f>3037593*2</f>
        <v>6075186</v>
      </c>
      <c r="E20">
        <f>253033*2</f>
        <v>506066</v>
      </c>
      <c r="F20">
        <f>474991*2</f>
        <v>949982</v>
      </c>
      <c r="G20">
        <v>103509</v>
      </c>
      <c r="H20">
        <v>97704</v>
      </c>
      <c r="I20">
        <f>66570*2</f>
        <v>133140</v>
      </c>
      <c r="J20">
        <v>127069</v>
      </c>
      <c r="K20">
        <v>120230</v>
      </c>
      <c r="L20">
        <v>27288</v>
      </c>
    </row>
    <row r="21" spans="1:16" x14ac:dyDescent="0.2">
      <c r="A21">
        <v>4</v>
      </c>
      <c r="C21">
        <v>54135614</v>
      </c>
      <c r="D21">
        <f>2585396*2</f>
        <v>5170792</v>
      </c>
      <c r="E21">
        <f>430546*2</f>
        <v>861092</v>
      </c>
      <c r="F21">
        <f>468326*2</f>
        <v>936652</v>
      </c>
      <c r="G21">
        <v>81211</v>
      </c>
      <c r="H21">
        <f>35812*2</f>
        <v>71624</v>
      </c>
      <c r="I21">
        <f>55700*2</f>
        <v>111400</v>
      </c>
      <c r="J21">
        <v>128245</v>
      </c>
      <c r="K21">
        <v>126045</v>
      </c>
      <c r="L21">
        <v>24752</v>
      </c>
    </row>
    <row r="22" spans="1:16" x14ac:dyDescent="0.2">
      <c r="A22">
        <v>6</v>
      </c>
      <c r="C22">
        <v>62872149</v>
      </c>
      <c r="D22">
        <f>2947510*2</f>
        <v>5895020</v>
      </c>
      <c r="E22">
        <f>563697*2</f>
        <v>1127394</v>
      </c>
      <c r="F22" s="1">
        <f>361629*2</f>
        <v>723258</v>
      </c>
      <c r="G22">
        <v>78159</v>
      </c>
      <c r="H22">
        <v>87397</v>
      </c>
      <c r="I22">
        <v>136575</v>
      </c>
      <c r="J22">
        <v>119427</v>
      </c>
      <c r="K22">
        <v>141142</v>
      </c>
      <c r="L22">
        <v>33084</v>
      </c>
    </row>
    <row r="24" spans="1:16" x14ac:dyDescent="0.2">
      <c r="P24" s="2"/>
    </row>
    <row r="25" spans="1:16" x14ac:dyDescent="0.2">
      <c r="B25" t="s">
        <v>2</v>
      </c>
      <c r="C25" t="s">
        <v>5</v>
      </c>
      <c r="D25" t="s">
        <v>8</v>
      </c>
      <c r="E25" t="s">
        <v>9</v>
      </c>
      <c r="F25" t="s">
        <v>10</v>
      </c>
      <c r="G25" t="s">
        <v>11</v>
      </c>
      <c r="H25" t="s">
        <v>14</v>
      </c>
      <c r="I25" t="s">
        <v>15</v>
      </c>
      <c r="J25" t="s">
        <v>12</v>
      </c>
      <c r="K25" t="s">
        <v>13</v>
      </c>
      <c r="L25" t="s">
        <v>16</v>
      </c>
    </row>
    <row r="26" spans="1:16" x14ac:dyDescent="0.2">
      <c r="A26">
        <v>1</v>
      </c>
      <c r="C26">
        <v>87147240</v>
      </c>
      <c r="D26">
        <v>12762826</v>
      </c>
      <c r="E26">
        <v>1138665</v>
      </c>
      <c r="F26">
        <v>1325096</v>
      </c>
      <c r="G26">
        <v>192115</v>
      </c>
      <c r="H26">
        <v>368748</v>
      </c>
      <c r="I26">
        <v>365598</v>
      </c>
      <c r="J26">
        <v>536646</v>
      </c>
      <c r="K26">
        <v>218441</v>
      </c>
      <c r="L26">
        <v>34646</v>
      </c>
    </row>
    <row r="27" spans="1:16" x14ac:dyDescent="0.2">
      <c r="A27">
        <v>2</v>
      </c>
      <c r="C27">
        <v>96208791</v>
      </c>
      <c r="D27">
        <f>7623753*2</f>
        <v>15247506</v>
      </c>
      <c r="E27">
        <f>576166*2</f>
        <v>1152332</v>
      </c>
      <c r="F27">
        <f>726590*2</f>
        <v>1453180</v>
      </c>
      <c r="G27">
        <v>222851</v>
      </c>
      <c r="H27">
        <v>358809</v>
      </c>
      <c r="I27">
        <v>316850</v>
      </c>
      <c r="J27">
        <v>462496</v>
      </c>
      <c r="K27">
        <v>181643</v>
      </c>
      <c r="L27">
        <v>28144</v>
      </c>
    </row>
    <row r="28" spans="1:16" x14ac:dyDescent="0.2">
      <c r="A28" t="s">
        <v>18</v>
      </c>
      <c r="C28">
        <v>82505522</v>
      </c>
      <c r="D28">
        <f>8403901*2</f>
        <v>16807802</v>
      </c>
      <c r="E28">
        <f>787644*2</f>
        <v>1575288</v>
      </c>
      <c r="F28">
        <f>657344*2</f>
        <v>1314688</v>
      </c>
      <c r="G28">
        <f>103174*2</f>
        <v>206348</v>
      </c>
      <c r="H28">
        <v>469083</v>
      </c>
      <c r="I28">
        <f>169767*2</f>
        <v>339534</v>
      </c>
      <c r="J28">
        <f>261493*2</f>
        <v>522986</v>
      </c>
      <c r="K28">
        <v>150440</v>
      </c>
      <c r="L28">
        <v>23523</v>
      </c>
    </row>
    <row r="29" spans="1:16" s="5" customFormat="1" x14ac:dyDescent="0.2">
      <c r="A29" t="s">
        <v>19</v>
      </c>
      <c r="B29"/>
      <c r="C29">
        <v>94980448</v>
      </c>
      <c r="D29">
        <f>8244057*2</f>
        <v>16488114</v>
      </c>
      <c r="E29">
        <f>604103*2</f>
        <v>1208206</v>
      </c>
      <c r="F29">
        <f>999377*2</f>
        <v>1998754</v>
      </c>
      <c r="G29">
        <v>204880</v>
      </c>
      <c r="H29">
        <v>352921</v>
      </c>
      <c r="I29">
        <v>311898</v>
      </c>
      <c r="J29">
        <f>255725*2</f>
        <v>511450</v>
      </c>
      <c r="K29">
        <v>223158</v>
      </c>
      <c r="L29">
        <v>28318</v>
      </c>
    </row>
    <row r="30" spans="1:16" x14ac:dyDescent="0.2">
      <c r="A30">
        <v>6</v>
      </c>
      <c r="C30" s="4">
        <v>111665000</v>
      </c>
      <c r="D30">
        <f>6693056*2</f>
        <v>13386112</v>
      </c>
      <c r="E30">
        <f>591591*2</f>
        <v>1183182</v>
      </c>
      <c r="F30">
        <f>719325*2</f>
        <v>1438650</v>
      </c>
      <c r="G30">
        <v>193296</v>
      </c>
      <c r="H30">
        <v>346850</v>
      </c>
      <c r="I30">
        <v>291032</v>
      </c>
      <c r="J30">
        <v>484808</v>
      </c>
      <c r="K30">
        <v>260132</v>
      </c>
      <c r="L30">
        <v>35156</v>
      </c>
    </row>
    <row r="33" spans="1:16" x14ac:dyDescent="0.2">
      <c r="B33" s="1" t="s">
        <v>3</v>
      </c>
    </row>
    <row r="34" spans="1:16" x14ac:dyDescent="0.2">
      <c r="B34">
        <v>1</v>
      </c>
      <c r="C34">
        <v>113419924</v>
      </c>
      <c r="D34">
        <f>12558764*2</f>
        <v>25117528</v>
      </c>
      <c r="E34">
        <f>1566284*2</f>
        <v>3132568</v>
      </c>
      <c r="F34">
        <f>1178081*2</f>
        <v>2356162</v>
      </c>
      <c r="G34">
        <v>136035</v>
      </c>
      <c r="H34">
        <v>1074561</v>
      </c>
      <c r="I34">
        <v>452410</v>
      </c>
      <c r="J34">
        <v>997609</v>
      </c>
      <c r="K34">
        <v>214099</v>
      </c>
      <c r="L34">
        <v>44523</v>
      </c>
    </row>
    <row r="35" spans="1:16" x14ac:dyDescent="0.2">
      <c r="B35">
        <v>2</v>
      </c>
      <c r="C35">
        <v>112739079</v>
      </c>
      <c r="D35">
        <f>13327750*2</f>
        <v>26655500</v>
      </c>
      <c r="E35">
        <f>1924166*2</f>
        <v>3848332</v>
      </c>
      <c r="F35">
        <f>1328746*2</f>
        <v>2657492</v>
      </c>
      <c r="G35">
        <v>236730</v>
      </c>
      <c r="H35">
        <v>581926</v>
      </c>
      <c r="I35">
        <v>420939</v>
      </c>
      <c r="J35">
        <v>996618</v>
      </c>
      <c r="K35">
        <v>260776</v>
      </c>
      <c r="L35">
        <v>35272</v>
      </c>
    </row>
    <row r="36" spans="1:16" x14ac:dyDescent="0.2">
      <c r="B36">
        <v>3</v>
      </c>
      <c r="C36">
        <v>119044129</v>
      </c>
      <c r="D36">
        <f>13610835*2</f>
        <v>27221670</v>
      </c>
      <c r="E36">
        <f>1950990*2</f>
        <v>3901980</v>
      </c>
      <c r="F36">
        <f>1321332*2</f>
        <v>2642664</v>
      </c>
      <c r="G36">
        <v>228270</v>
      </c>
      <c r="H36">
        <v>775577</v>
      </c>
      <c r="I36">
        <v>532659</v>
      </c>
      <c r="J36">
        <v>1013406</v>
      </c>
      <c r="K36">
        <v>274411</v>
      </c>
      <c r="L36">
        <v>35688</v>
      </c>
    </row>
    <row r="37" spans="1:16" x14ac:dyDescent="0.2">
      <c r="B37" t="s">
        <v>21</v>
      </c>
      <c r="C37">
        <v>106559734</v>
      </c>
      <c r="D37">
        <f>11983579*2</f>
        <v>23967158</v>
      </c>
      <c r="E37">
        <f>1918513*2</f>
        <v>3837026</v>
      </c>
      <c r="F37">
        <f>1654811*2</f>
        <v>3309622</v>
      </c>
      <c r="G37">
        <v>299487</v>
      </c>
      <c r="H37">
        <v>1023541</v>
      </c>
      <c r="I37">
        <v>531189</v>
      </c>
      <c r="J37">
        <v>1156519</v>
      </c>
      <c r="K37">
        <v>245155</v>
      </c>
      <c r="L37">
        <v>40935</v>
      </c>
    </row>
    <row r="38" spans="1:16" x14ac:dyDescent="0.2">
      <c r="C38">
        <v>117216792</v>
      </c>
      <c r="D38">
        <f>13939036*2</f>
        <v>27878072</v>
      </c>
      <c r="E38" s="1">
        <f>1249615*2</f>
        <v>2499230</v>
      </c>
      <c r="F38">
        <f>1454591*2</f>
        <v>2909182</v>
      </c>
      <c r="G38">
        <v>366400</v>
      </c>
      <c r="H38">
        <v>796539</v>
      </c>
      <c r="I38">
        <v>567653</v>
      </c>
      <c r="J38">
        <v>1080091</v>
      </c>
      <c r="K38">
        <v>242427</v>
      </c>
      <c r="L38">
        <v>42151</v>
      </c>
    </row>
    <row r="41" spans="1:16" s="5" customFormat="1" x14ac:dyDescent="0.2">
      <c r="A41"/>
      <c r="B41" t="s">
        <v>4</v>
      </c>
      <c r="C41" t="s">
        <v>5</v>
      </c>
      <c r="D41" t="s">
        <v>8</v>
      </c>
      <c r="E41" t="s">
        <v>9</v>
      </c>
      <c r="F41" t="s">
        <v>10</v>
      </c>
      <c r="G41" t="s">
        <v>11</v>
      </c>
      <c r="H41" t="s">
        <v>14</v>
      </c>
      <c r="I41" t="s">
        <v>15</v>
      </c>
      <c r="J41" t="s">
        <v>12</v>
      </c>
      <c r="K41" t="s">
        <v>13</v>
      </c>
      <c r="L41" t="s">
        <v>16</v>
      </c>
    </row>
    <row r="42" spans="1:16" x14ac:dyDescent="0.2">
      <c r="B42">
        <v>2</v>
      </c>
      <c r="C42">
        <v>137360192</v>
      </c>
      <c r="D42">
        <f>16598509*2</f>
        <v>33197018</v>
      </c>
      <c r="E42">
        <f>1438373*2</f>
        <v>2876746</v>
      </c>
      <c r="F42">
        <f>1935504*2</f>
        <v>3871008</v>
      </c>
      <c r="G42">
        <v>513090</v>
      </c>
      <c r="H42">
        <v>1043846</v>
      </c>
      <c r="I42">
        <v>666282</v>
      </c>
      <c r="J42">
        <v>1495219</v>
      </c>
      <c r="K42">
        <v>328458</v>
      </c>
      <c r="L42">
        <v>56698</v>
      </c>
    </row>
    <row r="43" spans="1:16" x14ac:dyDescent="0.2">
      <c r="B43" t="s">
        <v>24</v>
      </c>
      <c r="C43">
        <v>150944388</v>
      </c>
      <c r="D43">
        <f>19249783*2</f>
        <v>38499566</v>
      </c>
      <c r="E43">
        <f>2050668*2</f>
        <v>4101336</v>
      </c>
      <c r="F43">
        <f>1963181*2</f>
        <v>3926362</v>
      </c>
      <c r="G43">
        <v>445455</v>
      </c>
      <c r="H43">
        <v>817281</v>
      </c>
      <c r="I43">
        <v>850512</v>
      </c>
      <c r="J43">
        <v>1471330</v>
      </c>
      <c r="K43">
        <v>300136</v>
      </c>
      <c r="L43">
        <v>52294</v>
      </c>
    </row>
    <row r="44" spans="1:16" x14ac:dyDescent="0.2">
      <c r="B44" t="s">
        <v>25</v>
      </c>
      <c r="C44">
        <v>143700065</v>
      </c>
      <c r="D44">
        <f>16047794*2</f>
        <v>32095588</v>
      </c>
      <c r="E44">
        <f>1453094*2</f>
        <v>2906188</v>
      </c>
      <c r="F44">
        <f>2349503*2</f>
        <v>4699006</v>
      </c>
      <c r="G44">
        <f>195863*2</f>
        <v>391726</v>
      </c>
      <c r="H44">
        <v>1259364</v>
      </c>
      <c r="I44">
        <f>395235*2</f>
        <v>790470</v>
      </c>
      <c r="J44">
        <v>1773437</v>
      </c>
      <c r="K44">
        <v>342901</v>
      </c>
      <c r="L44">
        <v>51828</v>
      </c>
    </row>
    <row r="45" spans="1:16" x14ac:dyDescent="0.2">
      <c r="A45" s="5"/>
      <c r="B45" t="s">
        <v>26</v>
      </c>
      <c r="C45">
        <v>144774639</v>
      </c>
      <c r="D45">
        <f>18320920*2</f>
        <v>36641840</v>
      </c>
      <c r="E45">
        <f>1934534*2</f>
        <v>3869068</v>
      </c>
      <c r="F45">
        <f>2614394*2</f>
        <v>5228788</v>
      </c>
      <c r="G45">
        <v>586883</v>
      </c>
      <c r="H45">
        <v>1299646</v>
      </c>
      <c r="I45">
        <v>871207</v>
      </c>
      <c r="J45">
        <f>858932*2</f>
        <v>1717864</v>
      </c>
      <c r="K45">
        <v>359822</v>
      </c>
      <c r="L45">
        <v>50541</v>
      </c>
      <c r="P45" s="1"/>
    </row>
    <row r="46" spans="1:16" x14ac:dyDescent="0.2">
      <c r="B46">
        <v>4</v>
      </c>
      <c r="C46">
        <v>122794914</v>
      </c>
      <c r="D46">
        <f>14519078*2</f>
        <v>29038156</v>
      </c>
      <c r="E46">
        <f>1675615*2</f>
        <v>3351230</v>
      </c>
      <c r="F46">
        <f>2058071*2</f>
        <v>4116142</v>
      </c>
      <c r="G46">
        <v>561354</v>
      </c>
      <c r="H46">
        <v>1436116</v>
      </c>
      <c r="I46">
        <v>667805</v>
      </c>
      <c r="J46">
        <v>1372347</v>
      </c>
      <c r="K46">
        <v>298336</v>
      </c>
      <c r="L46">
        <v>50204</v>
      </c>
    </row>
    <row r="57" s="5" customFormat="1" x14ac:dyDescent="0.2"/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abSelected="1" zoomScale="186" zoomScaleNormal="186" zoomScalePageLayoutView="186" workbookViewId="0">
      <selection activeCell="A71" sqref="A71"/>
    </sheetView>
  </sheetViews>
  <sheetFormatPr baseColWidth="10" defaultRowHeight="16" x14ac:dyDescent="0.2"/>
  <sheetData>
    <row r="2" spans="1:12" x14ac:dyDescent="0.2">
      <c r="A2" s="3" t="s">
        <v>20</v>
      </c>
      <c r="C2" t="s">
        <v>17</v>
      </c>
    </row>
    <row r="8" spans="1:12" x14ac:dyDescent="0.2">
      <c r="A8" t="s">
        <v>6</v>
      </c>
      <c r="B8" t="s">
        <v>7</v>
      </c>
      <c r="C8" t="s">
        <v>5</v>
      </c>
      <c r="D8" t="s">
        <v>8</v>
      </c>
      <c r="E8" t="s">
        <v>9</v>
      </c>
      <c r="F8" t="s">
        <v>10</v>
      </c>
      <c r="G8" t="s">
        <v>11</v>
      </c>
      <c r="H8" t="s">
        <v>14</v>
      </c>
      <c r="I8" t="s">
        <v>15</v>
      </c>
      <c r="J8" t="s">
        <v>12</v>
      </c>
      <c r="K8" t="s">
        <v>13</v>
      </c>
      <c r="L8" t="s">
        <v>16</v>
      </c>
    </row>
    <row r="9" spans="1:12" x14ac:dyDescent="0.2">
      <c r="B9" t="s">
        <v>0</v>
      </c>
    </row>
    <row r="10" spans="1:12" x14ac:dyDescent="0.2">
      <c r="A10">
        <v>1</v>
      </c>
      <c r="C10" s="3">
        <v>29761534</v>
      </c>
      <c r="D10">
        <f>504874*2</f>
        <v>1009748</v>
      </c>
      <c r="E10">
        <f>125243*2</f>
        <v>250486</v>
      </c>
      <c r="F10">
        <f>66159*2</f>
        <v>132318</v>
      </c>
      <c r="H10">
        <v>76102</v>
      </c>
      <c r="I10">
        <v>86539</v>
      </c>
      <c r="K10">
        <v>55426</v>
      </c>
      <c r="L10">
        <v>20221</v>
      </c>
    </row>
    <row r="11" spans="1:12" x14ac:dyDescent="0.2">
      <c r="A11">
        <v>2</v>
      </c>
      <c r="C11" s="3">
        <v>33698142</v>
      </c>
      <c r="D11">
        <f>520977*2</f>
        <v>1041954</v>
      </c>
      <c r="E11">
        <f>134747*2</f>
        <v>269494</v>
      </c>
      <c r="F11">
        <f>80621*2</f>
        <v>161242</v>
      </c>
      <c r="H11">
        <v>65998</v>
      </c>
      <c r="I11">
        <v>88465</v>
      </c>
      <c r="K11">
        <v>58721</v>
      </c>
      <c r="L11">
        <v>17387</v>
      </c>
    </row>
    <row r="12" spans="1:12" x14ac:dyDescent="0.2">
      <c r="A12">
        <v>3</v>
      </c>
      <c r="C12" s="3">
        <v>32968678</v>
      </c>
      <c r="D12">
        <f>456055*2</f>
        <v>912110</v>
      </c>
      <c r="E12">
        <f>144897*2</f>
        <v>289794</v>
      </c>
      <c r="F12">
        <f>97116*2</f>
        <v>194232</v>
      </c>
      <c r="H12">
        <f>34125*2</f>
        <v>68250</v>
      </c>
      <c r="I12">
        <f>35033*2</f>
        <v>70066</v>
      </c>
      <c r="K12">
        <v>51241</v>
      </c>
      <c r="L12">
        <v>20617</v>
      </c>
    </row>
    <row r="13" spans="1:12" x14ac:dyDescent="0.2">
      <c r="A13">
        <v>4</v>
      </c>
      <c r="C13" s="3">
        <v>33553794</v>
      </c>
      <c r="D13">
        <f>531082*2</f>
        <v>1062164</v>
      </c>
      <c r="E13">
        <f>142026*2</f>
        <v>284052</v>
      </c>
      <c r="F13">
        <f>70542*2</f>
        <v>141084</v>
      </c>
      <c r="H13">
        <v>66201</v>
      </c>
      <c r="I13">
        <f>49703*2</f>
        <v>99406</v>
      </c>
      <c r="K13">
        <v>59619</v>
      </c>
      <c r="L13">
        <v>18696</v>
      </c>
    </row>
    <row r="14" spans="1:12" x14ac:dyDescent="0.2">
      <c r="A14">
        <v>6</v>
      </c>
      <c r="C14" s="3">
        <v>31718795</v>
      </c>
      <c r="D14">
        <f>573973*2</f>
        <v>1147946</v>
      </c>
      <c r="E14">
        <f>147461*2</f>
        <v>294922</v>
      </c>
      <c r="F14">
        <f>77168*2</f>
        <v>154336</v>
      </c>
      <c r="H14">
        <v>60540</v>
      </c>
      <c r="I14">
        <v>67637</v>
      </c>
      <c r="K14">
        <v>53050</v>
      </c>
      <c r="L14">
        <v>23558</v>
      </c>
    </row>
    <row r="17" spans="1:12" x14ac:dyDescent="0.2">
      <c r="A17" s="5"/>
      <c r="B17" s="2" t="s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>
        <v>2</v>
      </c>
      <c r="C18">
        <v>49488698</v>
      </c>
      <c r="D18">
        <f>1796134*2</f>
        <v>3592268</v>
      </c>
      <c r="E18">
        <f>371930*2</f>
        <v>743860</v>
      </c>
      <c r="F18">
        <f>229237*2</f>
        <v>458474</v>
      </c>
      <c r="G18">
        <v>68636</v>
      </c>
      <c r="H18">
        <v>62433</v>
      </c>
      <c r="I18">
        <v>55728</v>
      </c>
      <c r="J18">
        <v>60539</v>
      </c>
      <c r="K18">
        <v>103387</v>
      </c>
      <c r="L18">
        <v>31472</v>
      </c>
    </row>
    <row r="19" spans="1:12" x14ac:dyDescent="0.2">
      <c r="A19">
        <v>6</v>
      </c>
      <c r="C19">
        <v>43559667</v>
      </c>
      <c r="D19">
        <f>1596638*2</f>
        <v>3193276</v>
      </c>
      <c r="E19">
        <f>332214*2</f>
        <v>664428</v>
      </c>
      <c r="F19">
        <f>249646*2</f>
        <v>499292</v>
      </c>
      <c r="G19">
        <f>32334*2</f>
        <v>64668</v>
      </c>
      <c r="H19">
        <f>33409*2</f>
        <v>66818</v>
      </c>
      <c r="I19">
        <f>30743*2</f>
        <v>61486</v>
      </c>
      <c r="J19">
        <v>74340</v>
      </c>
      <c r="K19">
        <v>125586</v>
      </c>
      <c r="L19">
        <v>26918</v>
      </c>
    </row>
    <row r="20" spans="1:12" x14ac:dyDescent="0.2">
      <c r="A20">
        <v>7</v>
      </c>
      <c r="C20">
        <v>43320804</v>
      </c>
      <c r="D20">
        <f>1742324*2</f>
        <v>3484648</v>
      </c>
      <c r="E20">
        <f>287592*2</f>
        <v>575184</v>
      </c>
      <c r="F20">
        <f>393624*2</f>
        <v>787248</v>
      </c>
      <c r="G20">
        <f>25828*2</f>
        <v>51656</v>
      </c>
      <c r="H20">
        <v>58521</v>
      </c>
      <c r="I20">
        <v>73940</v>
      </c>
      <c r="J20">
        <v>77444</v>
      </c>
      <c r="K20">
        <v>97357</v>
      </c>
      <c r="L20">
        <v>27972</v>
      </c>
    </row>
    <row r="21" spans="1:12" x14ac:dyDescent="0.2">
      <c r="A21">
        <v>3</v>
      </c>
      <c r="C21">
        <v>44114772</v>
      </c>
      <c r="D21">
        <f>2174558*2</f>
        <v>4349116</v>
      </c>
      <c r="E21">
        <f>362201*2</f>
        <v>724402</v>
      </c>
      <c r="F21">
        <f>375788*2</f>
        <v>751576</v>
      </c>
      <c r="G21">
        <f>37090*2</f>
        <v>74180</v>
      </c>
      <c r="H21">
        <v>59148</v>
      </c>
      <c r="I21">
        <f>42883*2</f>
        <v>85766</v>
      </c>
      <c r="J21">
        <v>99114</v>
      </c>
      <c r="K21">
        <v>120571</v>
      </c>
      <c r="L21">
        <f>11801*2</f>
        <v>23602</v>
      </c>
    </row>
    <row r="22" spans="1:12" x14ac:dyDescent="0.2">
      <c r="A22">
        <v>5</v>
      </c>
      <c r="C22">
        <v>45170845</v>
      </c>
      <c r="D22">
        <f>1766594*2</f>
        <v>3533188</v>
      </c>
      <c r="E22">
        <f>251432*2</f>
        <v>502864</v>
      </c>
      <c r="F22">
        <f>245818*2</f>
        <v>491636</v>
      </c>
      <c r="G22">
        <f>37865*2</f>
        <v>75730</v>
      </c>
      <c r="H22">
        <v>54228</v>
      </c>
      <c r="I22">
        <v>107712</v>
      </c>
      <c r="J22">
        <f>44459*2</f>
        <v>88918</v>
      </c>
      <c r="K22">
        <v>144334</v>
      </c>
      <c r="L22">
        <v>28039</v>
      </c>
    </row>
    <row r="25" spans="1:12" s="5" customFormat="1" x14ac:dyDescent="0.2">
      <c r="A25"/>
      <c r="B25" t="s">
        <v>2</v>
      </c>
      <c r="C25" t="s">
        <v>5</v>
      </c>
      <c r="D25" t="s">
        <v>8</v>
      </c>
      <c r="E25" t="s">
        <v>9</v>
      </c>
      <c r="F25" t="s">
        <v>10</v>
      </c>
      <c r="G25" t="s">
        <v>11</v>
      </c>
      <c r="H25" t="s">
        <v>14</v>
      </c>
      <c r="I25" t="s">
        <v>15</v>
      </c>
      <c r="J25" t="s">
        <v>12</v>
      </c>
      <c r="K25" t="s">
        <v>13</v>
      </c>
      <c r="L25" t="s">
        <v>16</v>
      </c>
    </row>
    <row r="26" spans="1:12" x14ac:dyDescent="0.2">
      <c r="A26">
        <v>1</v>
      </c>
      <c r="C26">
        <v>43798330</v>
      </c>
      <c r="D26">
        <v>3563906</v>
      </c>
      <c r="E26">
        <v>634128</v>
      </c>
      <c r="F26">
        <v>703579</v>
      </c>
      <c r="G26">
        <v>77767</v>
      </c>
      <c r="H26">
        <v>60115</v>
      </c>
      <c r="I26">
        <v>89278</v>
      </c>
      <c r="J26">
        <v>102153</v>
      </c>
      <c r="K26">
        <v>85530</v>
      </c>
      <c r="L26">
        <v>28390</v>
      </c>
    </row>
    <row r="27" spans="1:12" x14ac:dyDescent="0.2">
      <c r="A27">
        <v>2</v>
      </c>
      <c r="C27">
        <v>38362706</v>
      </c>
      <c r="D27">
        <f>1948274*2</f>
        <v>3896548</v>
      </c>
      <c r="E27">
        <f>340584*2</f>
        <v>681168</v>
      </c>
      <c r="F27">
        <f>370864*2</f>
        <v>741728</v>
      </c>
      <c r="G27">
        <v>63058</v>
      </c>
      <c r="H27">
        <v>71670</v>
      </c>
      <c r="I27">
        <v>97320</v>
      </c>
      <c r="J27">
        <v>100765</v>
      </c>
      <c r="K27">
        <v>105712</v>
      </c>
      <c r="L27">
        <v>32396</v>
      </c>
    </row>
    <row r="28" spans="1:12" x14ac:dyDescent="0.2">
      <c r="A28">
        <v>4</v>
      </c>
      <c r="C28">
        <v>37683936</v>
      </c>
      <c r="D28">
        <f>1830117*2</f>
        <v>3660234</v>
      </c>
      <c r="E28">
        <f>328966*2</f>
        <v>657932</v>
      </c>
      <c r="F28">
        <f>350739*2</f>
        <v>701478</v>
      </c>
      <c r="G28">
        <v>93860</v>
      </c>
      <c r="H28">
        <v>75695</v>
      </c>
      <c r="I28">
        <v>106604</v>
      </c>
      <c r="J28">
        <v>93426</v>
      </c>
      <c r="K28">
        <v>80550</v>
      </c>
      <c r="L28">
        <v>31304</v>
      </c>
    </row>
    <row r="29" spans="1:12" x14ac:dyDescent="0.2">
      <c r="A29">
        <v>5</v>
      </c>
      <c r="C29">
        <v>45559024</v>
      </c>
      <c r="D29">
        <f>2216194*2</f>
        <v>4432388</v>
      </c>
      <c r="E29">
        <f>436332*2</f>
        <v>872664</v>
      </c>
      <c r="F29">
        <f>414160*2</f>
        <v>828320</v>
      </c>
      <c r="G29">
        <f>45407*2</f>
        <v>90814</v>
      </c>
      <c r="H29">
        <v>62275</v>
      </c>
      <c r="I29">
        <v>134656</v>
      </c>
      <c r="J29">
        <v>101395</v>
      </c>
      <c r="K29">
        <v>93026</v>
      </c>
      <c r="L29">
        <v>28496</v>
      </c>
    </row>
    <row r="30" spans="1:12" x14ac:dyDescent="0.2">
      <c r="A30">
        <v>6</v>
      </c>
      <c r="C30">
        <v>37399457</v>
      </c>
      <c r="D30">
        <f>1804016*2</f>
        <v>3608032</v>
      </c>
      <c r="E30">
        <f>281429*2</f>
        <v>562858</v>
      </c>
      <c r="F30">
        <f>397153*2</f>
        <v>794306</v>
      </c>
      <c r="G30">
        <v>72456</v>
      </c>
      <c r="H30">
        <v>83378</v>
      </c>
      <c r="I30">
        <v>118146</v>
      </c>
      <c r="J30">
        <v>125451</v>
      </c>
      <c r="K30">
        <v>104887</v>
      </c>
      <c r="L30">
        <v>35389</v>
      </c>
    </row>
    <row r="33" spans="1:12" x14ac:dyDescent="0.2">
      <c r="B33" s="1" t="s">
        <v>3</v>
      </c>
    </row>
    <row r="34" spans="1:12" x14ac:dyDescent="0.2">
      <c r="B34">
        <v>1</v>
      </c>
      <c r="C34">
        <v>34163198</v>
      </c>
      <c r="D34">
        <f>1481209*2</f>
        <v>2962418</v>
      </c>
      <c r="E34">
        <f>325200*2</f>
        <v>650400</v>
      </c>
      <c r="F34">
        <f>303817*2</f>
        <v>607634</v>
      </c>
      <c r="G34">
        <f>33527*2</f>
        <v>67054</v>
      </c>
      <c r="H34">
        <v>64294</v>
      </c>
      <c r="I34">
        <v>91457</v>
      </c>
      <c r="J34">
        <v>84556</v>
      </c>
      <c r="K34">
        <v>85743</v>
      </c>
      <c r="L34">
        <v>24474</v>
      </c>
    </row>
    <row r="35" spans="1:12" x14ac:dyDescent="0.2">
      <c r="B35">
        <v>2</v>
      </c>
      <c r="C35">
        <v>40153335</v>
      </c>
      <c r="D35">
        <f>1723517*2</f>
        <v>3447034</v>
      </c>
      <c r="E35">
        <f>368892*2</f>
        <v>737784</v>
      </c>
      <c r="F35">
        <f>368036*2</f>
        <v>736072</v>
      </c>
      <c r="G35">
        <v>78699</v>
      </c>
      <c r="H35">
        <v>79191</v>
      </c>
      <c r="I35">
        <v>117544</v>
      </c>
      <c r="J35">
        <v>91878</v>
      </c>
      <c r="K35">
        <v>117113</v>
      </c>
      <c r="L35">
        <v>25529</v>
      </c>
    </row>
    <row r="36" spans="1:12" x14ac:dyDescent="0.2">
      <c r="B36">
        <v>3</v>
      </c>
      <c r="C36">
        <v>34230396</v>
      </c>
      <c r="D36">
        <f>1491763*2</f>
        <v>2983526</v>
      </c>
      <c r="E36">
        <f>219305*2</f>
        <v>438610</v>
      </c>
      <c r="F36">
        <f>249316*2</f>
        <v>498632</v>
      </c>
      <c r="G36">
        <f>29737*2</f>
        <v>59474</v>
      </c>
      <c r="H36">
        <f>26719*2</f>
        <v>53438</v>
      </c>
      <c r="I36">
        <f>47777*2</f>
        <v>95554</v>
      </c>
      <c r="J36">
        <f>35058*2</f>
        <v>70116</v>
      </c>
      <c r="K36">
        <v>85911</v>
      </c>
      <c r="L36">
        <v>25553</v>
      </c>
    </row>
    <row r="37" spans="1:12" x14ac:dyDescent="0.2">
      <c r="B37">
        <v>4</v>
      </c>
      <c r="C37">
        <v>30683114</v>
      </c>
      <c r="D37">
        <f>1341002*2</f>
        <v>2682004</v>
      </c>
      <c r="E37">
        <f>289752*2</f>
        <v>579504</v>
      </c>
      <c r="F37">
        <f>255790*2</f>
        <v>511580</v>
      </c>
      <c r="G37">
        <v>54260</v>
      </c>
      <c r="H37">
        <v>52361</v>
      </c>
      <c r="I37">
        <v>75753</v>
      </c>
      <c r="J37">
        <v>84646</v>
      </c>
      <c r="K37">
        <v>85386</v>
      </c>
      <c r="L37">
        <v>24952</v>
      </c>
    </row>
    <row r="38" spans="1:12" x14ac:dyDescent="0.2">
      <c r="B38">
        <v>5</v>
      </c>
      <c r="C38">
        <v>35467078</v>
      </c>
      <c r="D38">
        <f>1632284*2</f>
        <v>3264568</v>
      </c>
      <c r="E38">
        <f>276715*2</f>
        <v>553430</v>
      </c>
      <c r="F38">
        <f>316458*2</f>
        <v>632916</v>
      </c>
      <c r="G38">
        <v>58519</v>
      </c>
      <c r="H38">
        <v>66564</v>
      </c>
      <c r="I38">
        <v>96186</v>
      </c>
      <c r="J38">
        <v>92827</v>
      </c>
      <c r="K38">
        <v>105848</v>
      </c>
      <c r="L38">
        <v>33911</v>
      </c>
    </row>
    <row r="41" spans="1:12" x14ac:dyDescent="0.2">
      <c r="C41" t="s">
        <v>5</v>
      </c>
      <c r="D41" t="s">
        <v>8</v>
      </c>
      <c r="E41" t="s">
        <v>9</v>
      </c>
      <c r="F41" t="s">
        <v>10</v>
      </c>
      <c r="G41" t="s">
        <v>11</v>
      </c>
      <c r="H41" t="s">
        <v>14</v>
      </c>
      <c r="I41" t="s">
        <v>15</v>
      </c>
      <c r="J41" t="s">
        <v>12</v>
      </c>
      <c r="K41" t="s">
        <v>13</v>
      </c>
      <c r="L41" t="s">
        <v>16</v>
      </c>
    </row>
    <row r="42" spans="1:12" x14ac:dyDescent="0.2">
      <c r="A42" t="s">
        <v>22</v>
      </c>
      <c r="B42">
        <v>1</v>
      </c>
      <c r="C42">
        <v>39948380</v>
      </c>
      <c r="D42">
        <f>1544449*2</f>
        <v>3088898</v>
      </c>
      <c r="E42">
        <f>326919*2</f>
        <v>653838</v>
      </c>
      <c r="F42">
        <f>334458*2</f>
        <v>668916</v>
      </c>
      <c r="G42">
        <v>83903</v>
      </c>
      <c r="H42">
        <v>76173</v>
      </c>
      <c r="I42">
        <v>122737</v>
      </c>
      <c r="J42">
        <v>122613</v>
      </c>
      <c r="K42">
        <v>121783</v>
      </c>
      <c r="L42">
        <v>28535</v>
      </c>
    </row>
    <row r="43" spans="1:12" x14ac:dyDescent="0.2">
      <c r="B43">
        <v>2</v>
      </c>
      <c r="C43">
        <v>39703888</v>
      </c>
      <c r="D43">
        <f>1487543*2</f>
        <v>2975086</v>
      </c>
      <c r="E43">
        <f>289059*2</f>
        <v>578118</v>
      </c>
      <c r="F43">
        <f>368008*2</f>
        <v>736016</v>
      </c>
      <c r="G43">
        <v>84186</v>
      </c>
      <c r="H43">
        <v>70848</v>
      </c>
      <c r="I43">
        <v>108512</v>
      </c>
      <c r="J43">
        <v>107164</v>
      </c>
      <c r="K43">
        <v>145312</v>
      </c>
      <c r="L43">
        <v>31886</v>
      </c>
    </row>
    <row r="44" spans="1:12" x14ac:dyDescent="0.2">
      <c r="B44">
        <v>3</v>
      </c>
      <c r="C44">
        <v>39349650</v>
      </c>
      <c r="D44">
        <f>1599801*2</f>
        <v>3199602</v>
      </c>
      <c r="E44">
        <f>311080*2</f>
        <v>622160</v>
      </c>
      <c r="F44">
        <f>438514*2</f>
        <v>877028</v>
      </c>
      <c r="G44">
        <v>67513</v>
      </c>
      <c r="H44">
        <v>79763</v>
      </c>
      <c r="I44">
        <v>100552</v>
      </c>
      <c r="J44">
        <v>100937</v>
      </c>
      <c r="K44">
        <v>127228</v>
      </c>
      <c r="L44">
        <v>30737</v>
      </c>
    </row>
    <row r="45" spans="1:12" x14ac:dyDescent="0.2">
      <c r="B45">
        <v>4</v>
      </c>
      <c r="C45">
        <v>42657856</v>
      </c>
      <c r="D45">
        <f>1707714*2</f>
        <v>3415428</v>
      </c>
      <c r="E45">
        <f>374824*2</f>
        <v>749648</v>
      </c>
      <c r="F45">
        <f>404818*2</f>
        <v>809636</v>
      </c>
      <c r="G45">
        <v>79883</v>
      </c>
      <c r="H45">
        <v>64222</v>
      </c>
      <c r="I45">
        <v>111683</v>
      </c>
      <c r="J45">
        <v>110668</v>
      </c>
      <c r="K45">
        <v>100831</v>
      </c>
      <c r="L45">
        <v>29545</v>
      </c>
    </row>
    <row r="46" spans="1:12" x14ac:dyDescent="0.2">
      <c r="B46">
        <v>5</v>
      </c>
      <c r="C46">
        <v>41626874</v>
      </c>
      <c r="D46">
        <f>1723396*2</f>
        <v>3446792</v>
      </c>
      <c r="E46">
        <f>349364*2</f>
        <v>698728</v>
      </c>
      <c r="F46">
        <f>332768*2</f>
        <v>665536</v>
      </c>
      <c r="G46">
        <v>60361</v>
      </c>
      <c r="H46">
        <v>78414</v>
      </c>
      <c r="I46">
        <v>100952</v>
      </c>
      <c r="J46">
        <v>97583</v>
      </c>
      <c r="K46">
        <v>95694</v>
      </c>
      <c r="L46">
        <v>28407</v>
      </c>
    </row>
    <row r="49" spans="1:12" x14ac:dyDescent="0.2">
      <c r="A49" t="s">
        <v>23</v>
      </c>
      <c r="B49">
        <v>1</v>
      </c>
      <c r="C49">
        <v>38821223</v>
      </c>
      <c r="D49">
        <f>1418541*2</f>
        <v>2837082</v>
      </c>
      <c r="E49">
        <f>331564*2</f>
        <v>663128</v>
      </c>
      <c r="F49">
        <f>386300*2</f>
        <v>772600</v>
      </c>
      <c r="G49">
        <v>93891</v>
      </c>
      <c r="H49">
        <v>64131</v>
      </c>
      <c r="I49">
        <f>66896*2</f>
        <v>133792</v>
      </c>
      <c r="J49">
        <v>78754</v>
      </c>
      <c r="K49">
        <v>111614</v>
      </c>
      <c r="L49">
        <v>33619</v>
      </c>
    </row>
    <row r="50" spans="1:12" x14ac:dyDescent="0.2">
      <c r="B50">
        <v>2</v>
      </c>
      <c r="C50">
        <v>42828962</v>
      </c>
      <c r="D50">
        <f>1272573*2</f>
        <v>2545146</v>
      </c>
      <c r="E50">
        <f>367091*2</f>
        <v>734182</v>
      </c>
      <c r="F50">
        <f>283822*2</f>
        <v>567644</v>
      </c>
      <c r="G50">
        <f>41702*2</f>
        <v>83404</v>
      </c>
      <c r="H50">
        <v>60848</v>
      </c>
      <c r="I50">
        <f>59016*2</f>
        <v>118032</v>
      </c>
      <c r="J50">
        <v>88372</v>
      </c>
      <c r="K50">
        <v>96759</v>
      </c>
      <c r="L50">
        <v>28606</v>
      </c>
    </row>
    <row r="51" spans="1:12" x14ac:dyDescent="0.2">
      <c r="B51">
        <v>5</v>
      </c>
      <c r="C51">
        <v>36935516</v>
      </c>
      <c r="D51">
        <f>1402182*2</f>
        <v>2804364</v>
      </c>
      <c r="E51">
        <f>297115*2</f>
        <v>594230</v>
      </c>
      <c r="F51">
        <f>289768*2</f>
        <v>579536</v>
      </c>
      <c r="G51">
        <f>31430*2</f>
        <v>62860</v>
      </c>
      <c r="H51">
        <v>62709</v>
      </c>
      <c r="I51">
        <f>49294*2</f>
        <v>98588</v>
      </c>
      <c r="J51">
        <v>87301</v>
      </c>
      <c r="K51">
        <v>94713</v>
      </c>
      <c r="L51">
        <v>30856</v>
      </c>
    </row>
    <row r="52" spans="1:12" x14ac:dyDescent="0.2">
      <c r="B52">
        <v>7</v>
      </c>
      <c r="C52">
        <v>39976589</v>
      </c>
      <c r="D52">
        <f>1760441*2</f>
        <v>3520882</v>
      </c>
      <c r="E52">
        <f>327373*2</f>
        <v>654746</v>
      </c>
      <c r="F52">
        <f>384499*2</f>
        <v>768998</v>
      </c>
      <c r="G52">
        <v>70202</v>
      </c>
      <c r="H52">
        <v>58955</v>
      </c>
      <c r="I52">
        <v>118043</v>
      </c>
      <c r="J52">
        <v>74335</v>
      </c>
      <c r="K52">
        <v>98641</v>
      </c>
      <c r="L52">
        <v>39652</v>
      </c>
    </row>
    <row r="53" spans="1:12" x14ac:dyDescent="0.2">
      <c r="B53">
        <v>6</v>
      </c>
      <c r="C53">
        <v>40161578</v>
      </c>
      <c r="D53">
        <f>1562909*2</f>
        <v>3125818</v>
      </c>
      <c r="E53">
        <f>319568*2</f>
        <v>639136</v>
      </c>
      <c r="F53">
        <f>373530*2</f>
        <v>747060</v>
      </c>
      <c r="G53">
        <f>35754*2</f>
        <v>71508</v>
      </c>
      <c r="H53">
        <v>68873</v>
      </c>
      <c r="I53">
        <f>50050*2</f>
        <v>100100</v>
      </c>
      <c r="J53">
        <v>79720</v>
      </c>
      <c r="K53">
        <v>98956</v>
      </c>
      <c r="L53">
        <v>31199</v>
      </c>
    </row>
    <row r="56" spans="1:12" x14ac:dyDescent="0.2">
      <c r="C56" t="s">
        <v>5</v>
      </c>
      <c r="D56" t="s">
        <v>8</v>
      </c>
      <c r="E56" t="s">
        <v>9</v>
      </c>
      <c r="F56" t="s">
        <v>10</v>
      </c>
      <c r="G56" t="s">
        <v>11</v>
      </c>
      <c r="H56" t="s">
        <v>14</v>
      </c>
      <c r="I56" t="s">
        <v>15</v>
      </c>
      <c r="J56" t="s">
        <v>12</v>
      </c>
      <c r="K56" t="s">
        <v>13</v>
      </c>
      <c r="L56" t="s">
        <v>16</v>
      </c>
    </row>
    <row r="57" spans="1:12" x14ac:dyDescent="0.2">
      <c r="A57" t="s">
        <v>27</v>
      </c>
      <c r="B57">
        <v>1</v>
      </c>
      <c r="C57">
        <v>53620751</v>
      </c>
      <c r="D57">
        <f>2537907*2</f>
        <v>5075814</v>
      </c>
      <c r="E57">
        <f>499536*2</f>
        <v>999072</v>
      </c>
      <c r="F57">
        <f>512661*2</f>
        <v>1025322</v>
      </c>
      <c r="G57">
        <f>45959*2</f>
        <v>91918</v>
      </c>
      <c r="H57">
        <v>70413</v>
      </c>
      <c r="I57">
        <f>45444*2</f>
        <v>90888</v>
      </c>
      <c r="J57">
        <v>92166</v>
      </c>
      <c r="K57">
        <v>111853</v>
      </c>
      <c r="L57">
        <v>25804</v>
      </c>
    </row>
    <row r="58" spans="1:12" x14ac:dyDescent="0.2">
      <c r="B58">
        <v>3</v>
      </c>
      <c r="C58">
        <v>50444064</v>
      </c>
      <c r="D58">
        <f>2311357*2</f>
        <v>4622714</v>
      </c>
      <c r="E58">
        <f>521340*2</f>
        <v>1042680</v>
      </c>
      <c r="F58">
        <f>464631*2</f>
        <v>929262</v>
      </c>
      <c r="G58">
        <f>48024*2</f>
        <v>96048</v>
      </c>
      <c r="H58">
        <v>74294</v>
      </c>
      <c r="I58">
        <f>63828*2</f>
        <v>127656</v>
      </c>
      <c r="J58">
        <v>98426</v>
      </c>
      <c r="K58">
        <v>126808</v>
      </c>
      <c r="L58">
        <v>27919</v>
      </c>
    </row>
    <row r="59" spans="1:12" x14ac:dyDescent="0.2">
      <c r="B59">
        <v>4</v>
      </c>
      <c r="C59">
        <v>57832745</v>
      </c>
      <c r="D59">
        <f>2557829*2</f>
        <v>5115658</v>
      </c>
      <c r="E59">
        <f>356220*2</f>
        <v>712440</v>
      </c>
      <c r="F59">
        <f>537594*2</f>
        <v>1075188</v>
      </c>
      <c r="G59">
        <v>91762</v>
      </c>
      <c r="H59">
        <v>61371</v>
      </c>
      <c r="I59">
        <v>119267</v>
      </c>
      <c r="J59">
        <v>85887</v>
      </c>
      <c r="K59">
        <v>144017</v>
      </c>
      <c r="L59">
        <v>29880</v>
      </c>
    </row>
    <row r="60" spans="1:12" x14ac:dyDescent="0.2">
      <c r="B60">
        <v>5</v>
      </c>
      <c r="C60">
        <v>48469441</v>
      </c>
      <c r="D60">
        <f>2114364*2</f>
        <v>4228728</v>
      </c>
      <c r="E60">
        <f>317309*2</f>
        <v>634618</v>
      </c>
      <c r="F60">
        <f>412724*2</f>
        <v>825448</v>
      </c>
      <c r="G60">
        <v>75142</v>
      </c>
      <c r="H60">
        <v>92282</v>
      </c>
      <c r="I60">
        <v>135274</v>
      </c>
      <c r="J60">
        <v>114667</v>
      </c>
      <c r="K60">
        <v>121782</v>
      </c>
      <c r="L60">
        <v>38975</v>
      </c>
    </row>
    <row r="61" spans="1:12" x14ac:dyDescent="0.2">
      <c r="B61">
        <v>6</v>
      </c>
      <c r="C61">
        <v>36784329</v>
      </c>
      <c r="D61">
        <f>1764114*2</f>
        <v>3528228</v>
      </c>
      <c r="E61">
        <f>376653*2</f>
        <v>753306</v>
      </c>
      <c r="F61">
        <f>399336*2</f>
        <v>798672</v>
      </c>
      <c r="G61">
        <f>36828*2</f>
        <v>73656</v>
      </c>
      <c r="H61">
        <v>79462</v>
      </c>
      <c r="I61">
        <f>47141*2</f>
        <v>94282</v>
      </c>
      <c r="J61">
        <v>98111</v>
      </c>
      <c r="K61">
        <v>108105</v>
      </c>
      <c r="L61">
        <v>38922</v>
      </c>
    </row>
    <row r="64" spans="1:12" x14ac:dyDescent="0.2">
      <c r="A64" t="s">
        <v>28</v>
      </c>
      <c r="B64">
        <v>1</v>
      </c>
      <c r="C64">
        <v>56578580</v>
      </c>
      <c r="D64">
        <f>2283550*2</f>
        <v>4567100</v>
      </c>
      <c r="E64">
        <f>370219*2</f>
        <v>740438</v>
      </c>
      <c r="F64">
        <f>437101*2</f>
        <v>874202</v>
      </c>
      <c r="G64">
        <f>38959*2</f>
        <v>77918</v>
      </c>
      <c r="H64">
        <v>68451</v>
      </c>
      <c r="I64">
        <f>48731*2</f>
        <v>97462</v>
      </c>
      <c r="J64">
        <v>101408</v>
      </c>
      <c r="K64">
        <v>115902</v>
      </c>
      <c r="L64">
        <v>30784</v>
      </c>
    </row>
    <row r="65" spans="1:12" x14ac:dyDescent="0.2">
      <c r="B65">
        <v>4</v>
      </c>
      <c r="C65">
        <v>56592980</v>
      </c>
      <c r="D65">
        <f>3179710*2</f>
        <v>6359420</v>
      </c>
      <c r="E65">
        <f>473165*2</f>
        <v>946330</v>
      </c>
      <c r="F65">
        <f>507078*2</f>
        <v>1014156</v>
      </c>
      <c r="G65">
        <v>74618</v>
      </c>
      <c r="H65">
        <v>102547</v>
      </c>
      <c r="I65">
        <v>117858</v>
      </c>
      <c r="J65">
        <v>113885</v>
      </c>
      <c r="K65">
        <v>110537</v>
      </c>
      <c r="L65">
        <v>31774</v>
      </c>
    </row>
    <row r="66" spans="1:12" x14ac:dyDescent="0.2">
      <c r="B66">
        <v>2</v>
      </c>
      <c r="C66">
        <v>47536187</v>
      </c>
      <c r="D66">
        <f>2383840*2</f>
        <v>4767680</v>
      </c>
      <c r="E66">
        <f>462193*2</f>
        <v>924386</v>
      </c>
      <c r="F66">
        <f>478007*2</f>
        <v>956014</v>
      </c>
      <c r="G66">
        <v>75335</v>
      </c>
      <c r="H66">
        <v>79345</v>
      </c>
      <c r="I66">
        <f>60904*2</f>
        <v>121808</v>
      </c>
      <c r="J66">
        <v>106674</v>
      </c>
      <c r="K66">
        <v>101026</v>
      </c>
      <c r="L66">
        <v>30667</v>
      </c>
    </row>
    <row r="67" spans="1:12" x14ac:dyDescent="0.2">
      <c r="B67">
        <v>3</v>
      </c>
      <c r="C67">
        <v>64663092</v>
      </c>
      <c r="D67">
        <f>3545109*2</f>
        <v>7090218</v>
      </c>
      <c r="E67">
        <f>446979*2</f>
        <v>893958</v>
      </c>
      <c r="F67">
        <f>590610*2</f>
        <v>1181220</v>
      </c>
      <c r="G67">
        <f>38453*2</f>
        <v>76906</v>
      </c>
      <c r="H67">
        <v>138801</v>
      </c>
      <c r="I67">
        <v>152753</v>
      </c>
      <c r="J67">
        <v>158239</v>
      </c>
      <c r="K67">
        <v>129551</v>
      </c>
      <c r="L67">
        <v>47152</v>
      </c>
    </row>
    <row r="68" spans="1:12" x14ac:dyDescent="0.2">
      <c r="B68">
        <v>6</v>
      </c>
      <c r="C68">
        <v>49713585</v>
      </c>
      <c r="D68">
        <f>2131377*2</f>
        <v>4262754</v>
      </c>
      <c r="E68">
        <f>499532*2</f>
        <v>999064</v>
      </c>
      <c r="F68">
        <f>447473*2</f>
        <v>894946</v>
      </c>
      <c r="G68">
        <v>63077</v>
      </c>
      <c r="H68">
        <v>68878</v>
      </c>
      <c r="I68">
        <v>86201</v>
      </c>
      <c r="J68">
        <v>94600</v>
      </c>
      <c r="K68">
        <v>121594</v>
      </c>
      <c r="L68">
        <v>39883</v>
      </c>
    </row>
    <row r="71" spans="1:12" x14ac:dyDescent="0.2">
      <c r="A71" t="s">
        <v>29</v>
      </c>
      <c r="C71" t="s">
        <v>5</v>
      </c>
      <c r="D71" t="s">
        <v>8</v>
      </c>
      <c r="E71" t="s">
        <v>9</v>
      </c>
      <c r="F71" t="s">
        <v>10</v>
      </c>
      <c r="G71" t="s">
        <v>11</v>
      </c>
      <c r="H71" t="s">
        <v>14</v>
      </c>
      <c r="I71" t="s">
        <v>15</v>
      </c>
      <c r="J71" t="s">
        <v>12</v>
      </c>
      <c r="K71" t="s">
        <v>13</v>
      </c>
      <c r="L71" t="s">
        <v>16</v>
      </c>
    </row>
    <row r="72" spans="1:12" x14ac:dyDescent="0.2">
      <c r="B72">
        <v>2</v>
      </c>
      <c r="C72">
        <v>118590385</v>
      </c>
      <c r="D72">
        <f>15806591*2</f>
        <v>31613182</v>
      </c>
      <c r="E72">
        <f>2190316*2</f>
        <v>4380632</v>
      </c>
      <c r="F72">
        <f>1377384*2</f>
        <v>2754768</v>
      </c>
      <c r="G72">
        <v>312269</v>
      </c>
      <c r="H72">
        <v>1194363</v>
      </c>
      <c r="I72">
        <v>495545</v>
      </c>
      <c r="J72">
        <v>1130908</v>
      </c>
      <c r="K72">
        <v>203398</v>
      </c>
      <c r="L72">
        <v>55821</v>
      </c>
    </row>
    <row r="73" spans="1:12" x14ac:dyDescent="0.2">
      <c r="B73">
        <v>3</v>
      </c>
      <c r="C73">
        <v>87895477</v>
      </c>
      <c r="D73">
        <f>12007237*2</f>
        <v>24014474</v>
      </c>
      <c r="E73">
        <f>929449*2</f>
        <v>1858898</v>
      </c>
      <c r="F73">
        <f>1327129*2</f>
        <v>2654258</v>
      </c>
      <c r="G73">
        <v>458452</v>
      </c>
      <c r="H73">
        <v>888194</v>
      </c>
      <c r="I73">
        <v>635558</v>
      </c>
      <c r="J73">
        <v>1118799</v>
      </c>
    </row>
    <row r="74" spans="1:12" x14ac:dyDescent="0.2">
      <c r="B74">
        <v>4</v>
      </c>
      <c r="C74">
        <v>102801520</v>
      </c>
      <c r="D74">
        <f>10929289*2</f>
        <v>21858578</v>
      </c>
      <c r="E74">
        <f>1647299*2</f>
        <v>3294598</v>
      </c>
      <c r="F74">
        <f>1203939*2</f>
        <v>2407878</v>
      </c>
      <c r="G74">
        <v>342024</v>
      </c>
      <c r="H74">
        <v>653850</v>
      </c>
      <c r="I74">
        <v>452507</v>
      </c>
      <c r="J74">
        <v>927159</v>
      </c>
      <c r="K74">
        <v>275161</v>
      </c>
      <c r="L74">
        <v>33084</v>
      </c>
    </row>
    <row r="75" spans="1:12" x14ac:dyDescent="0.2">
      <c r="A75" s="5"/>
      <c r="B75">
        <v>5</v>
      </c>
      <c r="C75">
        <v>115423640</v>
      </c>
      <c r="D75">
        <f>13035823*2</f>
        <v>26071646</v>
      </c>
      <c r="E75">
        <f>1576282*2</f>
        <v>3152564</v>
      </c>
      <c r="F75">
        <f>1172486*2</f>
        <v>2344972</v>
      </c>
      <c r="G75">
        <v>318482</v>
      </c>
      <c r="H75">
        <v>1271267</v>
      </c>
      <c r="I75">
        <v>654106</v>
      </c>
      <c r="J75">
        <v>1184215</v>
      </c>
      <c r="K75">
        <v>262982</v>
      </c>
      <c r="L75">
        <v>44392</v>
      </c>
    </row>
    <row r="76" spans="1:12" x14ac:dyDescent="0.2">
      <c r="B76">
        <v>6</v>
      </c>
      <c r="C76">
        <v>108194203</v>
      </c>
      <c r="D76">
        <f>10956070*2</f>
        <v>21912140</v>
      </c>
      <c r="E76">
        <f>1457352*2</f>
        <v>2914704</v>
      </c>
      <c r="F76">
        <f>1082156*2</f>
        <v>2164312</v>
      </c>
      <c r="G76">
        <v>284404</v>
      </c>
      <c r="H76">
        <v>601776</v>
      </c>
      <c r="I76">
        <v>440109</v>
      </c>
      <c r="J76">
        <v>881755</v>
      </c>
      <c r="K76">
        <v>268679</v>
      </c>
      <c r="L76">
        <v>64039</v>
      </c>
    </row>
    <row r="81" spans="1:12" x14ac:dyDescent="0.2">
      <c r="A81" t="s">
        <v>4</v>
      </c>
      <c r="B81">
        <v>1</v>
      </c>
      <c r="C81">
        <v>130238816</v>
      </c>
      <c r="D81">
        <v>32683780</v>
      </c>
      <c r="E81">
        <v>3807774</v>
      </c>
      <c r="F81">
        <v>2597212</v>
      </c>
      <c r="G81">
        <v>395030</v>
      </c>
      <c r="H81">
        <v>1377399</v>
      </c>
      <c r="I81">
        <v>844816</v>
      </c>
      <c r="J81">
        <v>1216677</v>
      </c>
      <c r="K81">
        <v>349036</v>
      </c>
      <c r="L81">
        <v>62952</v>
      </c>
    </row>
    <row r="82" spans="1:12" x14ac:dyDescent="0.2">
      <c r="B82">
        <v>2</v>
      </c>
      <c r="C82">
        <v>137069641</v>
      </c>
      <c r="D82">
        <f>18754421*2</f>
        <v>37508842</v>
      </c>
      <c r="E82">
        <f>1913967*2</f>
        <v>3827934</v>
      </c>
      <c r="F82">
        <f>2176457*2</f>
        <v>4352914</v>
      </c>
      <c r="G82">
        <f>261931*2</f>
        <v>523862</v>
      </c>
      <c r="H82">
        <v>1678789</v>
      </c>
      <c r="I82">
        <f>421050*2</f>
        <v>842100</v>
      </c>
      <c r="J82">
        <f>791113*2</f>
        <v>1582226</v>
      </c>
      <c r="K82">
        <v>376760</v>
      </c>
      <c r="L82">
        <v>34892</v>
      </c>
    </row>
    <row r="83" spans="1:12" x14ac:dyDescent="0.2">
      <c r="B83">
        <v>3</v>
      </c>
      <c r="C83">
        <v>118262278</v>
      </c>
      <c r="D83">
        <f>14354258*2</f>
        <v>28708516</v>
      </c>
      <c r="E83">
        <f>1290843*2</f>
        <v>2581686</v>
      </c>
      <c r="F83">
        <f>1754981*2</f>
        <v>3509962</v>
      </c>
      <c r="G83">
        <f>197850*2</f>
        <v>395700</v>
      </c>
      <c r="H83">
        <v>1293114</v>
      </c>
      <c r="I83">
        <v>733103</v>
      </c>
      <c r="J83">
        <v>1700612</v>
      </c>
      <c r="K83">
        <v>279478</v>
      </c>
      <c r="L83">
        <v>68853</v>
      </c>
    </row>
    <row r="84" spans="1:12" x14ac:dyDescent="0.2">
      <c r="B84">
        <v>5</v>
      </c>
      <c r="C84">
        <v>134392854</v>
      </c>
      <c r="D84">
        <f>17411883*2</f>
        <v>34823766</v>
      </c>
      <c r="E84">
        <f>1780940*2</f>
        <v>3561880</v>
      </c>
      <c r="F84">
        <f>2023391*2</f>
        <v>4046782</v>
      </c>
      <c r="G84">
        <v>598205</v>
      </c>
      <c r="H84">
        <v>1240976</v>
      </c>
      <c r="I84">
        <v>928936</v>
      </c>
      <c r="J84">
        <v>1775396</v>
      </c>
      <c r="K84">
        <v>259153</v>
      </c>
      <c r="L84">
        <v>45156</v>
      </c>
    </row>
    <row r="85" spans="1:12" x14ac:dyDescent="0.2">
      <c r="B85">
        <v>6</v>
      </c>
      <c r="C85">
        <v>114085895</v>
      </c>
      <c r="D85">
        <f>16317424*2</f>
        <v>32634848</v>
      </c>
      <c r="E85">
        <f>1631672*2</f>
        <v>3263344</v>
      </c>
      <c r="F85">
        <f>1427999*2</f>
        <v>2855998</v>
      </c>
      <c r="G85">
        <v>522348</v>
      </c>
      <c r="H85">
        <v>1143528</v>
      </c>
      <c r="I85">
        <v>866308</v>
      </c>
      <c r="J85">
        <f>907818*2</f>
        <v>1815636</v>
      </c>
      <c r="K85">
        <v>317833</v>
      </c>
      <c r="L85">
        <v>65528</v>
      </c>
    </row>
    <row r="100" spans="12:12" s="5" customFormat="1" x14ac:dyDescent="0.2"/>
    <row r="112" spans="12:12" x14ac:dyDescent="0.2">
      <c r="L112">
        <f>AVERAGE(L81:L111)</f>
        <v>55476.2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Direct</vt:lpstr>
      <vt:lpstr>Diapause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2016-10-06T08:28:47Z</dcterms:created>
  <dcterms:modified xsi:type="dcterms:W3CDTF">2017-04-10T14:50:41Z</dcterms:modified>
</cp:coreProperties>
</file>