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49" activeTab="2"/>
  </bookViews>
  <sheets>
    <sheet name="Formulas" sheetId="7" r:id="rId1"/>
    <sheet name="Values" sheetId="9" r:id="rId2"/>
    <sheet name="Fig6" sheetId="8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7" l="1"/>
  <c r="N3" i="7"/>
  <c r="M3" i="7"/>
  <c r="K3" i="7"/>
  <c r="H4" i="7"/>
  <c r="H3" i="7"/>
  <c r="C27" i="7"/>
  <c r="D27" i="7"/>
  <c r="E27" i="7"/>
  <c r="F27" i="7"/>
  <c r="H27" i="7"/>
  <c r="C28" i="7"/>
  <c r="D28" i="7"/>
  <c r="E28" i="7"/>
  <c r="F28" i="7"/>
  <c r="H28" i="7"/>
  <c r="C29" i="7"/>
  <c r="D29" i="7"/>
  <c r="E29" i="7"/>
  <c r="F29" i="7"/>
  <c r="H29" i="7"/>
  <c r="C30" i="7"/>
  <c r="D30" i="7"/>
  <c r="E30" i="7"/>
  <c r="F30" i="7"/>
  <c r="H30" i="7"/>
  <c r="C31" i="7"/>
  <c r="D31" i="7"/>
  <c r="E31" i="7"/>
  <c r="F31" i="7"/>
  <c r="H31" i="7"/>
  <c r="C32" i="7"/>
  <c r="D32" i="7"/>
  <c r="E32" i="7"/>
  <c r="F32" i="7"/>
  <c r="H32" i="7"/>
  <c r="C33" i="7"/>
  <c r="D33" i="7"/>
  <c r="E33" i="7"/>
  <c r="F33" i="7"/>
  <c r="H33" i="7"/>
  <c r="E34" i="7"/>
  <c r="F34" i="7"/>
  <c r="H34" i="7"/>
  <c r="E35" i="7"/>
  <c r="F35" i="7"/>
  <c r="H35" i="7"/>
  <c r="C36" i="7"/>
  <c r="D36" i="7"/>
  <c r="E36" i="7"/>
  <c r="F36" i="7"/>
  <c r="H36" i="7"/>
  <c r="E37" i="7"/>
  <c r="F37" i="7"/>
  <c r="H37" i="7"/>
  <c r="E38" i="7"/>
  <c r="F38" i="7"/>
  <c r="H38" i="7"/>
  <c r="E39" i="7"/>
  <c r="F39" i="7"/>
  <c r="H39" i="7"/>
  <c r="E40" i="7"/>
  <c r="F40" i="7"/>
  <c r="H40" i="7"/>
  <c r="E41" i="7"/>
  <c r="F41" i="7"/>
  <c r="H41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K41" i="7"/>
  <c r="L42" i="7"/>
  <c r="C3" i="7"/>
  <c r="D3" i="7"/>
  <c r="E3" i="7"/>
  <c r="F3" i="7"/>
  <c r="I3" i="7"/>
  <c r="J3" i="7"/>
  <c r="C4" i="7"/>
  <c r="D4" i="7"/>
  <c r="E4" i="7"/>
  <c r="F4" i="7"/>
  <c r="I4" i="7"/>
  <c r="J4" i="7"/>
  <c r="K4" i="7"/>
  <c r="C5" i="7"/>
  <c r="D5" i="7"/>
  <c r="E5" i="7"/>
  <c r="F5" i="7"/>
  <c r="C6" i="7"/>
  <c r="D6" i="7"/>
  <c r="E6" i="7"/>
  <c r="F6" i="7"/>
  <c r="C7" i="7"/>
  <c r="D7" i="7"/>
  <c r="E7" i="7"/>
  <c r="F7" i="7"/>
  <c r="C8" i="7"/>
  <c r="D8" i="7"/>
  <c r="E8" i="7"/>
  <c r="F8" i="7"/>
  <c r="C9" i="7"/>
  <c r="D9" i="7"/>
  <c r="E9" i="7"/>
  <c r="F9" i="7"/>
  <c r="E10" i="7"/>
  <c r="F10" i="7"/>
  <c r="E11" i="7"/>
  <c r="F11" i="7"/>
  <c r="C12" i="7"/>
  <c r="D12" i="7"/>
  <c r="E12" i="7"/>
  <c r="F12" i="7"/>
  <c r="C13" i="7"/>
  <c r="D13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F22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2" i="7"/>
  <c r="K28" i="7"/>
  <c r="K27" i="7"/>
  <c r="L28" i="7"/>
  <c r="M28" i="7"/>
  <c r="E42" i="7"/>
  <c r="F42" i="7"/>
  <c r="F44" i="7"/>
  <c r="I42" i="7"/>
  <c r="I44" i="7"/>
  <c r="F45" i="7"/>
  <c r="N28" i="7"/>
  <c r="L4" i="7"/>
  <c r="M4" i="7"/>
  <c r="H5" i="7"/>
  <c r="J5" i="7"/>
  <c r="K5" i="7"/>
  <c r="L5" i="7"/>
  <c r="M5" i="7"/>
  <c r="H6" i="7"/>
  <c r="J6" i="7"/>
  <c r="K6" i="7"/>
  <c r="L6" i="7"/>
  <c r="M6" i="7"/>
  <c r="H7" i="7"/>
  <c r="J7" i="7"/>
  <c r="K7" i="7"/>
  <c r="L7" i="7"/>
  <c r="M7" i="7"/>
  <c r="H8" i="7"/>
  <c r="J8" i="7"/>
  <c r="K8" i="7"/>
  <c r="L8" i="7"/>
  <c r="M8" i="7"/>
  <c r="H9" i="7"/>
  <c r="J9" i="7"/>
  <c r="K9" i="7"/>
  <c r="L9" i="7"/>
  <c r="M9" i="7"/>
  <c r="H10" i="7"/>
  <c r="J10" i="7"/>
  <c r="K10" i="7"/>
  <c r="L10" i="7"/>
  <c r="M10" i="7"/>
  <c r="H11" i="7"/>
  <c r="J11" i="7"/>
  <c r="K11" i="7"/>
  <c r="L11" i="7"/>
  <c r="M11" i="7"/>
  <c r="H12" i="7"/>
  <c r="J12" i="7"/>
  <c r="K12" i="7"/>
  <c r="L12" i="7"/>
  <c r="M12" i="7"/>
  <c r="H13" i="7"/>
  <c r="J13" i="7"/>
  <c r="K13" i="7"/>
  <c r="L13" i="7"/>
  <c r="M13" i="7"/>
  <c r="H14" i="7"/>
  <c r="J14" i="7"/>
  <c r="K14" i="7"/>
  <c r="L14" i="7"/>
  <c r="M14" i="7"/>
  <c r="H15" i="7"/>
  <c r="J15" i="7"/>
  <c r="K15" i="7"/>
  <c r="L15" i="7"/>
  <c r="M15" i="7"/>
  <c r="H16" i="7"/>
  <c r="J16" i="7"/>
  <c r="K16" i="7"/>
  <c r="L16" i="7"/>
  <c r="M16" i="7"/>
  <c r="H17" i="7"/>
  <c r="J17" i="7"/>
  <c r="K17" i="7"/>
  <c r="L17" i="7"/>
  <c r="M17" i="7"/>
  <c r="H18" i="7"/>
  <c r="J18" i="7"/>
  <c r="K18" i="7"/>
  <c r="L18" i="7"/>
  <c r="M18" i="7"/>
  <c r="H19" i="7"/>
  <c r="J19" i="7"/>
  <c r="K19" i="7"/>
  <c r="L19" i="7"/>
  <c r="M19" i="7"/>
  <c r="H20" i="7"/>
  <c r="J20" i="7"/>
  <c r="K20" i="7"/>
  <c r="L20" i="7"/>
  <c r="M20" i="7"/>
  <c r="M27" i="7"/>
  <c r="N27" i="7"/>
  <c r="K29" i="7"/>
  <c r="L29" i="7"/>
  <c r="M29" i="7"/>
  <c r="N29" i="7"/>
  <c r="K30" i="7"/>
  <c r="L30" i="7"/>
  <c r="M30" i="7"/>
  <c r="N30" i="7"/>
  <c r="K31" i="7"/>
  <c r="L31" i="7"/>
  <c r="M31" i="7"/>
  <c r="N31" i="7"/>
  <c r="K32" i="7"/>
  <c r="L32" i="7"/>
  <c r="M32" i="7"/>
  <c r="N32" i="7"/>
  <c r="K33" i="7"/>
  <c r="L33" i="7"/>
  <c r="M33" i="7"/>
  <c r="N33" i="7"/>
  <c r="K34" i="7"/>
  <c r="L34" i="7"/>
  <c r="M34" i="7"/>
  <c r="K35" i="7"/>
  <c r="L35" i="7"/>
  <c r="M35" i="7"/>
  <c r="K36" i="7"/>
  <c r="L36" i="7"/>
  <c r="M36" i="7"/>
  <c r="K37" i="7"/>
  <c r="L37" i="7"/>
  <c r="M37" i="7"/>
  <c r="K38" i="7"/>
  <c r="L38" i="7"/>
  <c r="M38" i="7"/>
  <c r="K39" i="7"/>
  <c r="L39" i="7"/>
  <c r="M39" i="7"/>
  <c r="K40" i="7"/>
  <c r="L40" i="7"/>
  <c r="M40" i="7"/>
  <c r="L41" i="7"/>
  <c r="M41" i="7"/>
  <c r="H42" i="7"/>
  <c r="J42" i="7"/>
  <c r="K42" i="7"/>
  <c r="M42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27" i="7"/>
  <c r="N34" i="7"/>
  <c r="N35" i="7"/>
  <c r="N36" i="7"/>
  <c r="N37" i="7"/>
  <c r="N38" i="7"/>
  <c r="N39" i="7"/>
  <c r="N40" i="7"/>
  <c r="N41" i="7"/>
  <c r="N42" i="7"/>
  <c r="G16" i="7"/>
  <c r="G4" i="7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0" i="7"/>
  <c r="G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</calcChain>
</file>

<file path=xl/sharedStrings.xml><?xml version="1.0" encoding="utf-8"?>
<sst xmlns="http://schemas.openxmlformats.org/spreadsheetml/2006/main" count="215" uniqueCount="40">
  <si>
    <t>Barrier</t>
  </si>
  <si>
    <t>Prezygotic</t>
  </si>
  <si>
    <t>Visual</t>
  </si>
  <si>
    <t>Fecundity</t>
  </si>
  <si>
    <t>Fertility</t>
  </si>
  <si>
    <t>RC</t>
  </si>
  <si>
    <t>Resistance</t>
  </si>
  <si>
    <t>Refusal</t>
  </si>
  <si>
    <t>Postzygotic</t>
  </si>
  <si>
    <t>Intromisison</t>
  </si>
  <si>
    <t>Copulation_Time</t>
  </si>
  <si>
    <t>NA</t>
  </si>
  <si>
    <t>Oviposition</t>
  </si>
  <si>
    <t>Egg_hatch</t>
  </si>
  <si>
    <t>Time_to_hatch</t>
  </si>
  <si>
    <t>Time_as_larva</t>
  </si>
  <si>
    <t>Larval_survivorship</t>
  </si>
  <si>
    <t>Sex_Ratio</t>
  </si>
  <si>
    <t>H</t>
  </si>
  <si>
    <t>C</t>
  </si>
  <si>
    <t>H+C</t>
  </si>
  <si>
    <t>A female</t>
  </si>
  <si>
    <t>P(H)</t>
  </si>
  <si>
    <t>P(C)</t>
  </si>
  <si>
    <t>RI</t>
  </si>
  <si>
    <t>product</t>
  </si>
  <si>
    <t>total RI</t>
  </si>
  <si>
    <t>C female</t>
  </si>
  <si>
    <t>AC</t>
  </si>
  <si>
    <t>C Sequential product</t>
  </si>
  <si>
    <t>RI [1,i]</t>
  </si>
  <si>
    <t>RI [1, i-1]</t>
  </si>
  <si>
    <t>Mechanical</t>
  </si>
  <si>
    <t>P(H) Sequential product</t>
  </si>
  <si>
    <t>1/(Cop_interruption)</t>
  </si>
  <si>
    <t>(hybrid)</t>
  </si>
  <si>
    <t>A_female</t>
  </si>
  <si>
    <t>C_female</t>
  </si>
  <si>
    <t>(heterospecific)</t>
  </si>
  <si>
    <t>P(C) Sequential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</si>
</sst>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0"/>
    <numFmt numFmtId="166" formatCode="0.0"/>
    <numFmt numFmtId="167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0" fillId="0" borderId="0" xfId="0" applyFill="1" applyBorder="1"/>
    <xf numFmtId="166" fontId="0" fillId="0" borderId="0" xfId="0" applyNumberFormat="1" applyBorder="1"/>
    <xf numFmtId="0" fontId="1" fillId="0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4" xfId="0" applyNumberFormat="1" applyFill="1" applyBorder="1"/>
    <xf numFmtId="0" fontId="0" fillId="0" borderId="4" xfId="0" applyBorder="1"/>
    <xf numFmtId="0" fontId="0" fillId="0" borderId="5" xfId="0" applyBorder="1"/>
    <xf numFmtId="165" fontId="1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165" fontId="1" fillId="0" borderId="7" xfId="0" applyNumberFormat="1" applyFont="1" applyBorder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166" fontId="0" fillId="0" borderId="4" xfId="0" applyNumberFormat="1" applyBorder="1"/>
    <xf numFmtId="2" fontId="0" fillId="0" borderId="4" xfId="0" applyNumberFormat="1" applyBorder="1"/>
    <xf numFmtId="0" fontId="1" fillId="0" borderId="4" xfId="0" applyFont="1" applyBorder="1"/>
    <xf numFmtId="0" fontId="1" fillId="0" borderId="6" xfId="0" applyFont="1" applyBorder="1"/>
    <xf numFmtId="0" fontId="0" fillId="0" borderId="8" xfId="0" applyBorder="1"/>
    <xf numFmtId="0" fontId="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0" borderId="5" xfId="0" applyFont="1" applyFill="1" applyBorder="1"/>
    <xf numFmtId="167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1" fillId="0" borderId="8" xfId="0" applyNumberFormat="1" applyFont="1" applyBorder="1"/>
  </cellXfs>
  <cellStyles count="4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27" zoomScale="115" zoomScaleNormal="115" zoomScalePageLayoutView="115" workbookViewId="0">
      <selection activeCell="F23" sqref="F23"/>
    </sheetView>
  </sheetViews>
  <sheetFormatPr defaultColWidth="11" defaultRowHeight="15.75" x14ac:dyDescent="0.25"/>
  <cols>
    <col min="2" max="2" width="20.375" customWidth="1"/>
    <col min="3" max="3" width="9.375" customWidth="1"/>
    <col min="4" max="4" width="9" customWidth="1"/>
    <col min="5" max="5" width="9.125" customWidth="1"/>
    <col min="6" max="6" width="11.5" customWidth="1"/>
    <col min="7" max="7" width="9" customWidth="1"/>
    <col min="8" max="8" width="20.375" customWidth="1"/>
    <col min="9" max="9" width="10" customWidth="1"/>
    <col min="10" max="10" width="12.875" customWidth="1"/>
    <col min="11" max="11" width="8.375" customWidth="1"/>
    <col min="12" max="12" width="9" customWidth="1"/>
    <col min="13" max="13" width="6.125" customWidth="1"/>
    <col min="14" max="14" width="7.875" customWidth="1"/>
    <col min="15" max="15" width="8.375" customWidth="1"/>
    <col min="16" max="16" width="7.5" customWidth="1"/>
    <col min="17" max="17" width="8" customWidth="1"/>
    <col min="18" max="18" width="8.5" customWidth="1"/>
    <col min="19" max="19" width="7.5" customWidth="1"/>
    <col min="20" max="20" width="8.375" customWidth="1"/>
    <col min="24" max="24" width="11.625" customWidth="1"/>
    <col min="28" max="28" width="13" bestFit="1" customWidth="1"/>
  </cols>
  <sheetData>
    <row r="1" spans="1:15" s="1" customFormat="1" x14ac:dyDescent="0.25">
      <c r="A1" s="10"/>
      <c r="B1" s="10"/>
      <c r="C1" s="11" t="s">
        <v>21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x14ac:dyDescent="0.25">
      <c r="B2" s="5" t="s">
        <v>0</v>
      </c>
      <c r="C2" s="12" t="s">
        <v>18</v>
      </c>
      <c r="D2" s="13" t="s">
        <v>19</v>
      </c>
      <c r="E2" s="13" t="s">
        <v>20</v>
      </c>
      <c r="F2" s="13" t="s">
        <v>22</v>
      </c>
      <c r="G2" s="13" t="s">
        <v>24</v>
      </c>
      <c r="H2" s="13" t="s">
        <v>33</v>
      </c>
      <c r="I2" s="13" t="s">
        <v>23</v>
      </c>
      <c r="J2" s="13" t="s">
        <v>39</v>
      </c>
      <c r="K2" s="14" t="s">
        <v>30</v>
      </c>
      <c r="L2" s="14" t="s">
        <v>31</v>
      </c>
      <c r="M2" s="14" t="s">
        <v>28</v>
      </c>
      <c r="N2" s="14" t="s">
        <v>5</v>
      </c>
    </row>
    <row r="3" spans="1:15" s="1" customFormat="1" x14ac:dyDescent="0.25">
      <c r="A3" s="1" t="s">
        <v>1</v>
      </c>
      <c r="B3" s="1" t="s">
        <v>2</v>
      </c>
      <c r="C3" s="16">
        <f>8/16</f>
        <v>0.5</v>
      </c>
      <c r="D3" s="3">
        <f>19/(19+22)</f>
        <v>0.46341463414634149</v>
      </c>
      <c r="E3" s="3">
        <f>SUM(C3:D3)</f>
        <v>0.96341463414634143</v>
      </c>
      <c r="F3" s="3">
        <f t="shared" ref="F3:F20" si="0">C3/E3</f>
        <v>0.51898734177215189</v>
      </c>
      <c r="G3" s="3">
        <f>1-2*(F3)</f>
        <v>-3.7974683544303778E-2</v>
      </c>
      <c r="H3" s="3">
        <f>F3</f>
        <v>0.51898734177215189</v>
      </c>
      <c r="I3" s="3">
        <f>1-F3</f>
        <v>0.48101265822784811</v>
      </c>
      <c r="J3" s="3">
        <f>I3</f>
        <v>0.48101265822784811</v>
      </c>
      <c r="K3" s="3">
        <f>1-2*(H3/(H3+J3))</f>
        <v>-3.7974683544303778E-2</v>
      </c>
      <c r="L3" s="3">
        <v>0</v>
      </c>
      <c r="M3" s="3">
        <f>K3-L3</f>
        <v>-3.7974683544303778E-2</v>
      </c>
      <c r="N3" s="3">
        <f>M3/F23</f>
        <v>-3.8214699951620808E-2</v>
      </c>
      <c r="O3" s="5"/>
    </row>
    <row r="4" spans="1:15" s="1" customFormat="1" x14ac:dyDescent="0.25">
      <c r="A4" s="1" t="s">
        <v>38</v>
      </c>
      <c r="B4" s="1" t="s">
        <v>32</v>
      </c>
      <c r="C4" s="16">
        <f>6/9</f>
        <v>0.66666666666666663</v>
      </c>
      <c r="D4" s="3">
        <f>38/40</f>
        <v>0.95</v>
      </c>
      <c r="E4" s="3">
        <f t="shared" ref="E4:E20" si="1">SUM(C4:D4)</f>
        <v>1.6166666666666667</v>
      </c>
      <c r="F4" s="3">
        <f t="shared" si="0"/>
        <v>0.41237113402061853</v>
      </c>
      <c r="G4" s="3">
        <f t="shared" ref="G4:G20" si="2">1-2*(F4)</f>
        <v>0.17525773195876293</v>
      </c>
      <c r="H4" s="3">
        <f>H3*F4</f>
        <v>0.2140153986689286</v>
      </c>
      <c r="I4" s="3">
        <f t="shared" ref="I4:I20" si="3">1-F4</f>
        <v>0.58762886597938147</v>
      </c>
      <c r="J4" s="3">
        <f t="shared" ref="J4:J20" si="4">J3*I4</f>
        <v>0.28265692287615818</v>
      </c>
      <c r="K4" s="3">
        <f t="shared" ref="K3:K20" si="5">1-2*(H4/(H4+J4))</f>
        <v>0.13820283762480301</v>
      </c>
      <c r="L4" s="3">
        <f>K3</f>
        <v>-3.7974683544303778E-2</v>
      </c>
      <c r="M4" s="3">
        <f t="shared" ref="M4:M20" si="6">K4-L4</f>
        <v>0.17617752116910679</v>
      </c>
      <c r="N4" s="3">
        <f>M4/F23</f>
        <v>0.17729103922204056</v>
      </c>
      <c r="O4" s="5"/>
    </row>
    <row r="5" spans="1:15" s="1" customFormat="1" x14ac:dyDescent="0.25">
      <c r="B5" s="1" t="s">
        <v>6</v>
      </c>
      <c r="C5" s="16">
        <f>2/6</f>
        <v>0.33333333333333331</v>
      </c>
      <c r="D5" s="3">
        <f>12/13</f>
        <v>0.92307692307692313</v>
      </c>
      <c r="E5" s="3">
        <f t="shared" si="1"/>
        <v>1.2564102564102564</v>
      </c>
      <c r="F5" s="3">
        <f t="shared" si="0"/>
        <v>0.26530612244897961</v>
      </c>
      <c r="G5" s="3">
        <f t="shared" si="2"/>
        <v>0.46938775510204078</v>
      </c>
      <c r="H5" s="3">
        <f t="shared" ref="H4:H20" si="7">H4*F5</f>
        <v>5.6779595565225958E-2</v>
      </c>
      <c r="I5" s="3">
        <f t="shared" si="3"/>
        <v>0.73469387755102034</v>
      </c>
      <c r="J5" s="3">
        <f t="shared" si="4"/>
        <v>0.20766631068452435</v>
      </c>
      <c r="K5" s="3">
        <f t="shared" si="5"/>
        <v>0.57057686110215911</v>
      </c>
      <c r="L5" s="3">
        <f>K4</f>
        <v>0.13820283762480301</v>
      </c>
      <c r="M5" s="3">
        <f t="shared" si="6"/>
        <v>0.4323740234773561</v>
      </c>
      <c r="N5" s="3">
        <f>M5/F23</f>
        <v>0.43510681411697189</v>
      </c>
      <c r="O5" s="5"/>
    </row>
    <row r="6" spans="1:15" s="1" customFormat="1" x14ac:dyDescent="0.25">
      <c r="B6" s="7" t="s">
        <v>7</v>
      </c>
      <c r="C6" s="18">
        <f>1/7</f>
        <v>0.14285714285714285</v>
      </c>
      <c r="D6" s="4">
        <f>17/(17+21)</f>
        <v>0.44736842105263158</v>
      </c>
      <c r="E6" s="3">
        <f t="shared" si="1"/>
        <v>0.59022556390977443</v>
      </c>
      <c r="F6" s="3">
        <f t="shared" si="0"/>
        <v>0.24203821656050956</v>
      </c>
      <c r="G6" s="3">
        <f t="shared" si="2"/>
        <v>0.51592356687898089</v>
      </c>
      <c r="H6" s="3">
        <f t="shared" si="7"/>
        <v>1.3742832047634308E-2</v>
      </c>
      <c r="I6" s="3">
        <f t="shared" si="3"/>
        <v>0.7579617834394905</v>
      </c>
      <c r="J6" s="3">
        <f t="shared" si="4"/>
        <v>0.15740312720674141</v>
      </c>
      <c r="K6" s="3">
        <f t="shared" si="5"/>
        <v>0.8394022025701674</v>
      </c>
      <c r="L6" s="3">
        <f>K5</f>
        <v>0.57057686110215911</v>
      </c>
      <c r="M6" s="3">
        <f t="shared" si="6"/>
        <v>0.26882534146800829</v>
      </c>
      <c r="N6" s="3">
        <f>M6/F23</f>
        <v>0.27052443377458801</v>
      </c>
      <c r="O6" s="5"/>
    </row>
    <row r="7" spans="1:15" s="1" customFormat="1" x14ac:dyDescent="0.25">
      <c r="A7" s="1" t="s">
        <v>8</v>
      </c>
      <c r="B7" s="1" t="s">
        <v>32</v>
      </c>
      <c r="C7" s="16">
        <f>30/35</f>
        <v>0.8571428571428571</v>
      </c>
      <c r="D7" s="3">
        <f>38/40</f>
        <v>0.95</v>
      </c>
      <c r="E7" s="3">
        <f t="shared" si="1"/>
        <v>1.8071428571428569</v>
      </c>
      <c r="F7" s="3">
        <f t="shared" si="0"/>
        <v>0.47430830039525695</v>
      </c>
      <c r="G7" s="3">
        <f t="shared" si="2"/>
        <v>5.1383399209486091E-2</v>
      </c>
      <c r="H7" s="3">
        <f t="shared" si="7"/>
        <v>6.5183393111308977E-3</v>
      </c>
      <c r="I7" s="3">
        <f t="shared" si="3"/>
        <v>0.52569169960474305</v>
      </c>
      <c r="J7" s="3">
        <f t="shared" si="4"/>
        <v>8.2745517464413457E-2</v>
      </c>
      <c r="K7" s="3">
        <f t="shared" si="5"/>
        <v>0.85395344663358241</v>
      </c>
      <c r="L7" s="3">
        <f t="shared" ref="L7:L20" si="8">K6</f>
        <v>0.8394022025701674</v>
      </c>
      <c r="M7" s="3">
        <f t="shared" si="6"/>
        <v>1.4551244063415014E-2</v>
      </c>
      <c r="N7" s="3">
        <f>M7/F23</f>
        <v>1.4643214212896827E-2</v>
      </c>
      <c r="O7" s="5"/>
    </row>
    <row r="8" spans="1:15" s="1" customFormat="1" x14ac:dyDescent="0.25">
      <c r="A8" s="7" t="s">
        <v>35</v>
      </c>
      <c r="B8" s="1" t="s">
        <v>6</v>
      </c>
      <c r="C8" s="16">
        <f>9/18</f>
        <v>0.5</v>
      </c>
      <c r="D8" s="3">
        <f>12/13</f>
        <v>0.92307692307692313</v>
      </c>
      <c r="E8" s="3">
        <f t="shared" si="1"/>
        <v>1.4230769230769231</v>
      </c>
      <c r="F8" s="3">
        <f t="shared" si="0"/>
        <v>0.35135135135135132</v>
      </c>
      <c r="G8" s="3">
        <f t="shared" si="2"/>
        <v>0.29729729729729737</v>
      </c>
      <c r="H8" s="3">
        <f t="shared" si="7"/>
        <v>2.2902273255324774E-3</v>
      </c>
      <c r="I8" s="3">
        <f t="shared" si="3"/>
        <v>0.64864864864864868</v>
      </c>
      <c r="J8" s="3">
        <f t="shared" si="4"/>
        <v>5.3672768085024948E-2</v>
      </c>
      <c r="K8" s="3">
        <f t="shared" si="5"/>
        <v>0.9181520821488971</v>
      </c>
      <c r="L8" s="3">
        <f t="shared" si="8"/>
        <v>0.85395344663358241</v>
      </c>
      <c r="M8" s="3">
        <f t="shared" si="6"/>
        <v>6.4198635515314684E-2</v>
      </c>
      <c r="N8" s="3">
        <f>M8/F23</f>
        <v>6.4604398629392115E-2</v>
      </c>
      <c r="O8" s="5"/>
    </row>
    <row r="9" spans="1:15" s="1" customFormat="1" x14ac:dyDescent="0.25">
      <c r="B9" s="1" t="s">
        <v>7</v>
      </c>
      <c r="C9" s="16">
        <f>3/30</f>
        <v>0.1</v>
      </c>
      <c r="D9" s="3">
        <f>17/(17+21)</f>
        <v>0.44736842105263158</v>
      </c>
      <c r="E9" s="3">
        <f t="shared" si="1"/>
        <v>0.54736842105263162</v>
      </c>
      <c r="F9" s="3">
        <f t="shared" si="0"/>
        <v>0.18269230769230768</v>
      </c>
      <c r="G9" s="3">
        <f t="shared" si="2"/>
        <v>0.63461538461538458</v>
      </c>
      <c r="H9" s="3">
        <f t="shared" si="7"/>
        <v>4.1840691524151026E-4</v>
      </c>
      <c r="I9" s="3">
        <f t="shared" si="3"/>
        <v>0.81730769230769229</v>
      </c>
      <c r="J9" s="3">
        <f t="shared" si="4"/>
        <v>4.3867166223337695E-2</v>
      </c>
      <c r="K9" s="3">
        <f t="shared" si="5"/>
        <v>0.98110414360305453</v>
      </c>
      <c r="L9" s="3">
        <f t="shared" si="8"/>
        <v>0.9181520821488971</v>
      </c>
      <c r="M9" s="3">
        <f t="shared" si="6"/>
        <v>6.2952061454157437E-2</v>
      </c>
      <c r="N9" s="3">
        <f>M9/F23</f>
        <v>6.3349945681574371E-2</v>
      </c>
      <c r="O9" s="5"/>
    </row>
    <row r="10" spans="1:15" s="1" customFormat="1" x14ac:dyDescent="0.25">
      <c r="B10" s="1" t="s">
        <v>9</v>
      </c>
      <c r="C10" s="16">
        <v>1</v>
      </c>
      <c r="D10" s="3">
        <v>1</v>
      </c>
      <c r="E10" s="3">
        <f t="shared" si="1"/>
        <v>2</v>
      </c>
      <c r="F10" s="3">
        <f t="shared" si="0"/>
        <v>0.5</v>
      </c>
      <c r="G10" s="3">
        <f t="shared" si="2"/>
        <v>0</v>
      </c>
      <c r="H10" s="3">
        <f t="shared" si="7"/>
        <v>2.0920345762075513E-4</v>
      </c>
      <c r="I10" s="3">
        <f t="shared" si="3"/>
        <v>0.5</v>
      </c>
      <c r="J10" s="3">
        <f t="shared" si="4"/>
        <v>2.1933583111668847E-2</v>
      </c>
      <c r="K10" s="3">
        <f t="shared" si="5"/>
        <v>0.98110414360305453</v>
      </c>
      <c r="L10" s="3">
        <f t="shared" si="8"/>
        <v>0.98110414360305453</v>
      </c>
      <c r="M10" s="3">
        <f t="shared" si="6"/>
        <v>0</v>
      </c>
      <c r="N10" s="3">
        <f>M10/F23</f>
        <v>0</v>
      </c>
      <c r="O10" s="5"/>
    </row>
    <row r="11" spans="1:15" s="1" customFormat="1" x14ac:dyDescent="0.25">
      <c r="B11" s="1" t="s">
        <v>10</v>
      </c>
      <c r="C11" s="18">
        <v>21.9</v>
      </c>
      <c r="D11" s="4">
        <v>19.899999999999999</v>
      </c>
      <c r="E11" s="3">
        <f t="shared" si="1"/>
        <v>41.8</v>
      </c>
      <c r="F11" s="3">
        <f t="shared" si="0"/>
        <v>0.52392344497607657</v>
      </c>
      <c r="G11" s="3">
        <f t="shared" si="2"/>
        <v>-4.7846889952153138E-2</v>
      </c>
      <c r="H11" s="3">
        <f t="shared" si="7"/>
        <v>1.0960659621757266E-4</v>
      </c>
      <c r="I11" s="3">
        <f t="shared" si="3"/>
        <v>0.47607655502392343</v>
      </c>
      <c r="J11" s="3">
        <f t="shared" si="4"/>
        <v>1.0442064687134212E-2</v>
      </c>
      <c r="K11" s="3">
        <f t="shared" si="5"/>
        <v>0.97922478946240343</v>
      </c>
      <c r="L11" s="3">
        <f t="shared" si="8"/>
        <v>0.98110414360305453</v>
      </c>
      <c r="M11" s="3">
        <f t="shared" si="6"/>
        <v>-1.8793541406511016E-3</v>
      </c>
      <c r="N11" s="3">
        <f>M11/F23</f>
        <v>-1.8912324708125422E-3</v>
      </c>
      <c r="O11" s="5"/>
    </row>
    <row r="12" spans="1:15" s="1" customFormat="1" x14ac:dyDescent="0.25">
      <c r="B12" s="1" t="s">
        <v>34</v>
      </c>
      <c r="C12" s="16">
        <f>1/2.25</f>
        <v>0.44444444444444442</v>
      </c>
      <c r="D12" s="3">
        <f>1/1.03</f>
        <v>0.970873786407767</v>
      </c>
      <c r="E12" s="3">
        <f>SUM(C12:D12)</f>
        <v>1.4153182308522114</v>
      </c>
      <c r="F12" s="3">
        <f t="shared" si="0"/>
        <v>0.31402439024390244</v>
      </c>
      <c r="G12" s="3">
        <f t="shared" si="2"/>
        <v>0.37195121951219512</v>
      </c>
      <c r="H12" s="3">
        <f t="shared" si="7"/>
        <v>3.4419144543932877E-5</v>
      </c>
      <c r="I12" s="3">
        <f t="shared" si="3"/>
        <v>0.68597560975609762</v>
      </c>
      <c r="J12" s="3">
        <f t="shared" si="4"/>
        <v>7.1630016908695053E-3</v>
      </c>
      <c r="K12" s="3">
        <f t="shared" si="5"/>
        <v>0.99043570041796625</v>
      </c>
      <c r="L12" s="3">
        <f t="shared" si="8"/>
        <v>0.97922478946240343</v>
      </c>
      <c r="M12" s="3">
        <f t="shared" si="6"/>
        <v>1.1210910955562814E-2</v>
      </c>
      <c r="N12" s="3">
        <f>M12/F23</f>
        <v>1.1281768756580855E-2</v>
      </c>
      <c r="O12" s="5"/>
    </row>
    <row r="13" spans="1:15" s="1" customFormat="1" x14ac:dyDescent="0.25">
      <c r="B13" s="1" t="s">
        <v>12</v>
      </c>
      <c r="C13" s="16">
        <f>10/13</f>
        <v>0.76923076923076927</v>
      </c>
      <c r="D13" s="3">
        <f>33/35</f>
        <v>0.94285714285714284</v>
      </c>
      <c r="E13" s="3">
        <f t="shared" si="1"/>
        <v>1.7120879120879122</v>
      </c>
      <c r="F13" s="3">
        <f t="shared" si="0"/>
        <v>0.44929396662387677</v>
      </c>
      <c r="G13" s="3">
        <f t="shared" si="2"/>
        <v>0.10141206675224645</v>
      </c>
      <c r="H13" s="3">
        <f t="shared" si="7"/>
        <v>1.5464313979944169E-5</v>
      </c>
      <c r="I13" s="3">
        <f t="shared" si="3"/>
        <v>0.55070603337612323</v>
      </c>
      <c r="J13" s="3">
        <f t="shared" si="4"/>
        <v>3.944708248245209E-3</v>
      </c>
      <c r="K13" s="3">
        <f t="shared" si="5"/>
        <v>0.99219008074170634</v>
      </c>
      <c r="L13" s="3">
        <f t="shared" si="8"/>
        <v>0.99043570041796625</v>
      </c>
      <c r="M13" s="3">
        <f t="shared" si="6"/>
        <v>1.7543803237400901E-3</v>
      </c>
      <c r="N13" s="3">
        <f>M13/F23</f>
        <v>1.7654687653825471E-3</v>
      </c>
      <c r="O13" s="5"/>
    </row>
    <row r="14" spans="1:15" s="1" customFormat="1" x14ac:dyDescent="0.25">
      <c r="B14" s="1" t="s">
        <v>3</v>
      </c>
      <c r="C14" s="16">
        <v>220.7</v>
      </c>
      <c r="D14" s="3">
        <v>268.39999999999998</v>
      </c>
      <c r="E14" s="3">
        <f t="shared" si="1"/>
        <v>489.09999999999997</v>
      </c>
      <c r="F14" s="3">
        <f t="shared" si="0"/>
        <v>0.45123696585565326</v>
      </c>
      <c r="G14" s="3">
        <f t="shared" si="2"/>
        <v>9.7526068288693479E-2</v>
      </c>
      <c r="H14" s="3">
        <f t="shared" si="7"/>
        <v>6.9780701193491689E-6</v>
      </c>
      <c r="I14" s="3">
        <f t="shared" si="3"/>
        <v>0.5487630341443468</v>
      </c>
      <c r="J14" s="3">
        <f t="shared" si="4"/>
        <v>2.1647100671212719E-3</v>
      </c>
      <c r="K14" s="3">
        <f t="shared" si="5"/>
        <v>0.99357359834528025</v>
      </c>
      <c r="L14" s="3">
        <f t="shared" si="8"/>
        <v>0.99219008074170634</v>
      </c>
      <c r="M14" s="3">
        <f t="shared" si="6"/>
        <v>1.3835176035739138E-3</v>
      </c>
      <c r="N14" s="3">
        <f>M14/F23</f>
        <v>1.3922620325902155E-3</v>
      </c>
      <c r="O14" s="5"/>
    </row>
    <row r="15" spans="1:15" s="1" customFormat="1" x14ac:dyDescent="0.25">
      <c r="B15" s="1" t="s">
        <v>4</v>
      </c>
      <c r="C15" s="16">
        <v>0.87</v>
      </c>
      <c r="D15" s="3">
        <v>0.9</v>
      </c>
      <c r="E15" s="3">
        <f t="shared" si="1"/>
        <v>1.77</v>
      </c>
      <c r="F15" s="3">
        <f t="shared" si="0"/>
        <v>0.49152542372881353</v>
      </c>
      <c r="G15" s="3">
        <f t="shared" si="2"/>
        <v>1.6949152542372947E-2</v>
      </c>
      <c r="H15" s="3">
        <f t="shared" si="7"/>
        <v>3.4298988722224725E-6</v>
      </c>
      <c r="I15" s="3">
        <f t="shared" si="3"/>
        <v>0.50847457627118642</v>
      </c>
      <c r="J15" s="3">
        <f t="shared" si="4"/>
        <v>1.1007000341294601E-3</v>
      </c>
      <c r="K15" s="3">
        <f t="shared" si="5"/>
        <v>0.99378714629554876</v>
      </c>
      <c r="L15" s="3">
        <f t="shared" si="8"/>
        <v>0.99357359834528025</v>
      </c>
      <c r="M15" s="3">
        <f t="shared" si="6"/>
        <v>2.1354795026851114E-4</v>
      </c>
      <c r="N15" s="3">
        <f>M15/F23</f>
        <v>2.148976655795964E-4</v>
      </c>
      <c r="O15" s="5"/>
    </row>
    <row r="16" spans="1:15" s="1" customFormat="1" x14ac:dyDescent="0.25">
      <c r="B16" s="7" t="s">
        <v>13</v>
      </c>
      <c r="C16" s="16">
        <v>0.98699999999999999</v>
      </c>
      <c r="D16" s="3">
        <v>0.92800000000000005</v>
      </c>
      <c r="E16" s="3">
        <f>SUM(C16:D16)</f>
        <v>1.915</v>
      </c>
      <c r="F16" s="3">
        <f t="shared" si="0"/>
        <v>0.51540469973890335</v>
      </c>
      <c r="G16" s="3">
        <f>1-2*(F16)</f>
        <v>-3.0809399477806698E-2</v>
      </c>
      <c r="H16" s="3">
        <f t="shared" si="7"/>
        <v>1.7677859983726266E-6</v>
      </c>
      <c r="I16" s="3">
        <f t="shared" si="3"/>
        <v>0.48459530026109665</v>
      </c>
      <c r="J16" s="3">
        <f t="shared" si="4"/>
        <v>5.3339406353636505E-4</v>
      </c>
      <c r="K16" s="3">
        <f t="shared" si="5"/>
        <v>0.99339345284081992</v>
      </c>
      <c r="L16" s="3">
        <f t="shared" si="8"/>
        <v>0.99378714629554876</v>
      </c>
      <c r="M16" s="3">
        <f t="shared" si="6"/>
        <v>-3.9369345472883843E-4</v>
      </c>
      <c r="N16" s="3">
        <f>M16/F23</f>
        <v>-3.9618176746166226E-4</v>
      </c>
      <c r="O16" s="5"/>
    </row>
    <row r="17" spans="1:22" s="1" customFormat="1" x14ac:dyDescent="0.25">
      <c r="B17" s="7" t="s">
        <v>14</v>
      </c>
      <c r="C17" s="16">
        <v>19.399999999999999</v>
      </c>
      <c r="D17" s="3">
        <v>18.600000000000001</v>
      </c>
      <c r="E17" s="3">
        <f t="shared" si="1"/>
        <v>38</v>
      </c>
      <c r="F17" s="3">
        <f t="shared" si="0"/>
        <v>0.51052631578947361</v>
      </c>
      <c r="G17" s="3">
        <f t="shared" si="2"/>
        <v>-2.1052631578947212E-2</v>
      </c>
      <c r="H17" s="3">
        <f t="shared" si="7"/>
        <v>9.0250127285339342E-7</v>
      </c>
      <c r="I17" s="3">
        <f t="shared" si="3"/>
        <v>0.48947368421052639</v>
      </c>
      <c r="J17" s="3">
        <f t="shared" si="4"/>
        <v>2.610823574151682E-4</v>
      </c>
      <c r="K17" s="3">
        <f t="shared" si="5"/>
        <v>0.99311027914076422</v>
      </c>
      <c r="L17" s="3">
        <f t="shared" si="8"/>
        <v>0.99339345284081992</v>
      </c>
      <c r="M17" s="3">
        <f t="shared" si="6"/>
        <v>-2.8317370005570552E-4</v>
      </c>
      <c r="N17" s="3">
        <f>M17/F23</f>
        <v>-2.8496348018790192E-4</v>
      </c>
      <c r="O17" s="5"/>
    </row>
    <row r="18" spans="1:22" s="1" customFormat="1" x14ac:dyDescent="0.25">
      <c r="B18" s="7" t="s">
        <v>15</v>
      </c>
      <c r="C18" s="16">
        <v>229.5</v>
      </c>
      <c r="D18" s="3">
        <v>269.89999999999998</v>
      </c>
      <c r="E18" s="3">
        <f t="shared" si="1"/>
        <v>499.4</v>
      </c>
      <c r="F18" s="3">
        <f t="shared" si="0"/>
        <v>0.45955146175410494</v>
      </c>
      <c r="G18" s="3">
        <f t="shared" si="2"/>
        <v>8.0897076491790121E-2</v>
      </c>
      <c r="H18" s="3">
        <f t="shared" si="7"/>
        <v>4.1474577917471724E-7</v>
      </c>
      <c r="I18" s="3">
        <f t="shared" si="3"/>
        <v>0.540448538245895</v>
      </c>
      <c r="J18" s="3">
        <f t="shared" si="4"/>
        <v>1.4110157842681995E-4</v>
      </c>
      <c r="K18" s="3">
        <f t="shared" si="5"/>
        <v>0.99413854505475985</v>
      </c>
      <c r="L18" s="3">
        <f t="shared" si="8"/>
        <v>0.99311027914076422</v>
      </c>
      <c r="M18" s="3">
        <f t="shared" si="6"/>
        <v>1.0282659139956296E-3</v>
      </c>
      <c r="N18" s="3">
        <f>M18/F23</f>
        <v>1.0347649988439829E-3</v>
      </c>
      <c r="O18" s="5"/>
    </row>
    <row r="19" spans="1:22" s="1" customFormat="1" x14ac:dyDescent="0.25">
      <c r="B19" s="7" t="s">
        <v>16</v>
      </c>
      <c r="C19" s="16">
        <v>5.96E-2</v>
      </c>
      <c r="D19" s="3">
        <v>5.67E-2</v>
      </c>
      <c r="E19" s="3">
        <f t="shared" si="1"/>
        <v>0.1163</v>
      </c>
      <c r="F19" s="3">
        <f t="shared" si="0"/>
        <v>0.51246775580395532</v>
      </c>
      <c r="G19" s="3">
        <f t="shared" si="2"/>
        <v>-2.4935511607910632E-2</v>
      </c>
      <c r="H19" s="3">
        <f t="shared" si="7"/>
        <v>2.1254383868283018E-7</v>
      </c>
      <c r="I19" s="3">
        <f t="shared" si="3"/>
        <v>0.48753224419604468</v>
      </c>
      <c r="J19" s="3">
        <f t="shared" si="4"/>
        <v>6.8791569190031736E-5</v>
      </c>
      <c r="K19" s="3">
        <f t="shared" si="5"/>
        <v>0.99383967623511416</v>
      </c>
      <c r="L19" s="3">
        <f t="shared" si="8"/>
        <v>0.99413854505475985</v>
      </c>
      <c r="M19" s="3">
        <f t="shared" si="6"/>
        <v>-2.9886881964569234E-4</v>
      </c>
      <c r="N19" s="3">
        <f>M19/F23</f>
        <v>-3.0075779971492061E-4</v>
      </c>
      <c r="O19" s="5"/>
    </row>
    <row r="20" spans="1:22" s="1" customFormat="1" x14ac:dyDescent="0.25">
      <c r="B20" s="7" t="s">
        <v>17</v>
      </c>
      <c r="C20" s="16">
        <v>0.52</v>
      </c>
      <c r="D20" s="3">
        <v>0.51</v>
      </c>
      <c r="E20" s="3">
        <f t="shared" si="1"/>
        <v>1.03</v>
      </c>
      <c r="F20" s="3">
        <f t="shared" si="0"/>
        <v>0.50485436893203883</v>
      </c>
      <c r="G20" s="3">
        <f t="shared" si="2"/>
        <v>-9.7087378640776656E-3</v>
      </c>
      <c r="H20" s="3">
        <f t="shared" si="7"/>
        <v>1.0730368554861329E-7</v>
      </c>
      <c r="I20" s="3">
        <f t="shared" si="3"/>
        <v>0.49514563106796117</v>
      </c>
      <c r="J20" s="3">
        <f t="shared" si="4"/>
        <v>3.4061844938753578E-5</v>
      </c>
      <c r="K20" s="3">
        <f t="shared" si="5"/>
        <v>0.99371926490013296</v>
      </c>
      <c r="L20" s="3">
        <f t="shared" si="8"/>
        <v>0.99383967623511416</v>
      </c>
      <c r="M20" s="3">
        <f t="shared" si="6"/>
        <v>-1.2041133498119638E-4</v>
      </c>
      <c r="N20" s="3">
        <f>M20/F23</f>
        <v>-1.2117238664312049E-4</v>
      </c>
      <c r="O20" s="5"/>
    </row>
    <row r="21" spans="1:22" s="1" customFormat="1" x14ac:dyDescent="0.25">
      <c r="C21" s="19"/>
      <c r="N21" s="3"/>
      <c r="O21" s="5"/>
    </row>
    <row r="22" spans="1:22" s="1" customFormat="1" x14ac:dyDescent="0.25">
      <c r="C22" s="19"/>
      <c r="E22" s="5" t="s">
        <v>25</v>
      </c>
      <c r="F22" s="6">
        <f>PRODUCT(F3:F20)</f>
        <v>1.0730368554861329E-7</v>
      </c>
      <c r="H22" s="6"/>
      <c r="I22" s="6">
        <f>PRODUCT(I3:I20)</f>
        <v>3.4061844938753578E-5</v>
      </c>
      <c r="M22" s="6"/>
      <c r="N22" s="6"/>
      <c r="O22" s="6"/>
    </row>
    <row r="23" spans="1:22" s="1" customFormat="1" x14ac:dyDescent="0.25">
      <c r="C23" s="22"/>
      <c r="D23" s="23"/>
      <c r="E23" s="24" t="s">
        <v>26</v>
      </c>
      <c r="F23" s="24">
        <f>1-2*(F22/(F22+I22))</f>
        <v>0.99371926490013296</v>
      </c>
      <c r="G23" s="23"/>
      <c r="H23" s="24"/>
      <c r="I23" s="24"/>
      <c r="J23" s="24"/>
      <c r="K23" s="24"/>
      <c r="L23" s="24"/>
      <c r="M23" s="24"/>
      <c r="N23" s="25"/>
      <c r="O23" s="5"/>
    </row>
    <row r="24" spans="1:22" s="1" customFormat="1" x14ac:dyDescent="0.25"/>
    <row r="25" spans="1:22" x14ac:dyDescent="0.25">
      <c r="A25" s="26"/>
      <c r="B25" s="26"/>
      <c r="C25" s="34" t="s">
        <v>27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1"/>
      <c r="S25" s="1"/>
      <c r="T25" s="1"/>
      <c r="U25" s="1"/>
      <c r="V25" s="1"/>
    </row>
    <row r="26" spans="1:22" x14ac:dyDescent="0.25">
      <c r="A26" s="5"/>
      <c r="B26" s="5" t="s">
        <v>0</v>
      </c>
      <c r="C26" s="31" t="s">
        <v>18</v>
      </c>
      <c r="D26" s="5" t="s">
        <v>19</v>
      </c>
      <c r="E26" s="5" t="s">
        <v>20</v>
      </c>
      <c r="F26" s="5" t="s">
        <v>22</v>
      </c>
      <c r="G26" s="5" t="s">
        <v>24</v>
      </c>
      <c r="H26" s="5" t="s">
        <v>33</v>
      </c>
      <c r="I26" s="5" t="s">
        <v>23</v>
      </c>
      <c r="J26" s="5" t="s">
        <v>29</v>
      </c>
      <c r="K26" s="9" t="s">
        <v>30</v>
      </c>
      <c r="L26" s="9" t="s">
        <v>31</v>
      </c>
      <c r="M26" s="9" t="s">
        <v>28</v>
      </c>
      <c r="N26" s="37" t="s">
        <v>5</v>
      </c>
      <c r="O26" s="1"/>
      <c r="P26" s="1"/>
      <c r="Q26" s="1"/>
      <c r="R26" s="1"/>
      <c r="S26" s="1"/>
      <c r="T26" s="1"/>
      <c r="V26" s="1"/>
    </row>
    <row r="27" spans="1:22" x14ac:dyDescent="0.25">
      <c r="A27" s="1" t="s">
        <v>1</v>
      </c>
      <c r="B27" s="1" t="s">
        <v>2</v>
      </c>
      <c r="C27" s="16">
        <f>22/(19+22)</f>
        <v>0.53658536585365857</v>
      </c>
      <c r="D27" s="3">
        <f>8/16</f>
        <v>0.5</v>
      </c>
      <c r="E27" s="3">
        <f>SUM(C27:D27)</f>
        <v>1.0365853658536586</v>
      </c>
      <c r="F27" s="3">
        <f>C27/E27</f>
        <v>0.51764705882352946</v>
      </c>
      <c r="G27" s="3">
        <f>1-2*F27</f>
        <v>-3.529411764705892E-2</v>
      </c>
      <c r="H27" s="3">
        <f>F27</f>
        <v>0.51764705882352946</v>
      </c>
      <c r="I27" s="3">
        <f>1-F27</f>
        <v>0.48235294117647054</v>
      </c>
      <c r="J27" s="3">
        <f>I27</f>
        <v>0.48235294117647054</v>
      </c>
      <c r="K27" s="1">
        <f>1-2*(H27/(H27+J27))</f>
        <v>-3.529411764705892E-2</v>
      </c>
      <c r="L27" s="1">
        <v>0</v>
      </c>
      <c r="M27" s="3">
        <f>K27-L27</f>
        <v>-3.529411764705892E-2</v>
      </c>
      <c r="N27" s="20">
        <f>M27/F45</f>
        <v>-3.5522134657930339E-2</v>
      </c>
      <c r="R27" s="1"/>
      <c r="S27" s="1"/>
      <c r="T27" s="1"/>
      <c r="U27" s="1"/>
    </row>
    <row r="28" spans="1:22" x14ac:dyDescent="0.25">
      <c r="A28" s="1"/>
      <c r="B28" s="1" t="s">
        <v>32</v>
      </c>
      <c r="C28" s="16">
        <f>7/28</f>
        <v>0.25</v>
      </c>
      <c r="D28" s="3">
        <f>6/6</f>
        <v>1</v>
      </c>
      <c r="E28" s="3">
        <f t="shared" ref="E28:E42" si="9">SUM(C28:D28)</f>
        <v>1.25</v>
      </c>
      <c r="F28" s="3">
        <f t="shared" ref="F28:F42" si="10">C28/E28</f>
        <v>0.2</v>
      </c>
      <c r="G28" s="3">
        <f t="shared" ref="G28:G42" si="11">1-2*F28</f>
        <v>0.6</v>
      </c>
      <c r="H28" s="3">
        <f>H27*F28</f>
        <v>0.1035294117647059</v>
      </c>
      <c r="I28" s="3">
        <f t="shared" ref="I28:I42" si="12">1-F28</f>
        <v>0.8</v>
      </c>
      <c r="J28" s="3">
        <f>J27*I28</f>
        <v>0.38588235294117645</v>
      </c>
      <c r="K28" s="1">
        <f t="shared" ref="K28:K42" si="13">1-2*(H28/(H28+J28))</f>
        <v>0.57692307692307687</v>
      </c>
      <c r="L28" s="1">
        <f>K27</f>
        <v>-3.529411764705892E-2</v>
      </c>
      <c r="M28" s="3">
        <f t="shared" ref="M28:M42" si="14">K28-L28</f>
        <v>0.61221719457013579</v>
      </c>
      <c r="N28" s="17">
        <f>M28/F45</f>
        <v>0.61617241272025158</v>
      </c>
      <c r="R28" s="1"/>
      <c r="S28" s="1"/>
      <c r="T28" s="1"/>
      <c r="U28" s="1"/>
    </row>
    <row r="29" spans="1:22" x14ac:dyDescent="0.25">
      <c r="A29" s="1"/>
      <c r="B29" s="1" t="s">
        <v>6</v>
      </c>
      <c r="C29" s="16">
        <f>2/7</f>
        <v>0.2857142857142857</v>
      </c>
      <c r="D29" s="3">
        <f>4/5</f>
        <v>0.8</v>
      </c>
      <c r="E29" s="3">
        <f t="shared" si="9"/>
        <v>1.0857142857142859</v>
      </c>
      <c r="F29" s="3">
        <f t="shared" si="10"/>
        <v>0.26315789473684204</v>
      </c>
      <c r="G29" s="3">
        <f t="shared" si="11"/>
        <v>0.47368421052631593</v>
      </c>
      <c r="H29" s="3">
        <f>H28*F29</f>
        <v>2.7244582043343651E-2</v>
      </c>
      <c r="I29" s="3">
        <f t="shared" si="12"/>
        <v>0.73684210526315796</v>
      </c>
      <c r="J29" s="3">
        <f t="shared" ref="J29:J42" si="15">J28*I29</f>
        <v>0.28433436532507739</v>
      </c>
      <c r="K29" s="1">
        <f t="shared" si="13"/>
        <v>0.82511923688394284</v>
      </c>
      <c r="L29" s="1">
        <f>K28</f>
        <v>0.57692307692307687</v>
      </c>
      <c r="M29" s="3">
        <f t="shared" si="14"/>
        <v>0.24819615996086597</v>
      </c>
      <c r="N29" s="17">
        <f>M29/F45</f>
        <v>0.24979962677848047</v>
      </c>
      <c r="R29" s="1"/>
      <c r="S29" s="1"/>
      <c r="T29" s="1"/>
      <c r="U29" s="1"/>
    </row>
    <row r="30" spans="1:22" x14ac:dyDescent="0.25">
      <c r="A30" s="1"/>
      <c r="B30" s="7" t="s">
        <v>7</v>
      </c>
      <c r="C30" s="16">
        <f>1/8</f>
        <v>0.125</v>
      </c>
      <c r="D30" s="3">
        <f>5/6</f>
        <v>0.83333333333333337</v>
      </c>
      <c r="E30" s="3">
        <f t="shared" si="9"/>
        <v>0.95833333333333337</v>
      </c>
      <c r="F30" s="3">
        <f t="shared" si="10"/>
        <v>0.13043478260869565</v>
      </c>
      <c r="G30" s="3">
        <f t="shared" si="11"/>
        <v>0.73913043478260865</v>
      </c>
      <c r="H30" s="3">
        <f t="shared" ref="H30:H42" si="16">H29*F30</f>
        <v>3.5536411360883023E-3</v>
      </c>
      <c r="I30" s="3">
        <f t="shared" si="12"/>
        <v>0.86956521739130432</v>
      </c>
      <c r="J30" s="3">
        <f t="shared" si="15"/>
        <v>0.24724727419571946</v>
      </c>
      <c r="K30" s="1">
        <f t="shared" si="13"/>
        <v>0.97166165736367538</v>
      </c>
      <c r="L30" s="1">
        <f t="shared" ref="L30:L41" si="17">K29</f>
        <v>0.82511923688394284</v>
      </c>
      <c r="M30" s="3">
        <f t="shared" si="14"/>
        <v>0.14654242047973254</v>
      </c>
      <c r="N30" s="17">
        <f>M30/F45</f>
        <v>0.14748915514576932</v>
      </c>
    </row>
    <row r="31" spans="1:22" x14ac:dyDescent="0.25">
      <c r="A31" s="1" t="s">
        <v>8</v>
      </c>
      <c r="B31" s="1" t="s">
        <v>32</v>
      </c>
      <c r="C31" s="16">
        <f>7/11</f>
        <v>0.63636363636363635</v>
      </c>
      <c r="D31" s="3">
        <f>6/6</f>
        <v>1</v>
      </c>
      <c r="E31" s="3">
        <f t="shared" si="9"/>
        <v>1.6363636363636362</v>
      </c>
      <c r="F31" s="3">
        <f t="shared" si="10"/>
        <v>0.3888888888888889</v>
      </c>
      <c r="G31" s="3">
        <f t="shared" si="11"/>
        <v>0.22222222222222221</v>
      </c>
      <c r="H31" s="3">
        <f t="shared" si="16"/>
        <v>1.3819715529232288E-3</v>
      </c>
      <c r="I31" s="3">
        <f t="shared" si="12"/>
        <v>0.61111111111111116</v>
      </c>
      <c r="J31" s="3">
        <f t="shared" si="15"/>
        <v>0.15109555645293968</v>
      </c>
      <c r="K31" s="1">
        <f t="shared" si="13"/>
        <v>0.98187311178247738</v>
      </c>
      <c r="L31" s="1">
        <f t="shared" si="17"/>
        <v>0.97166165736367538</v>
      </c>
      <c r="M31" s="3">
        <f t="shared" si="14"/>
        <v>1.0211454418802002E-2</v>
      </c>
      <c r="N31" s="17">
        <f>M31/F45</f>
        <v>1.0277425336010042E-2</v>
      </c>
    </row>
    <row r="32" spans="1:22" x14ac:dyDescent="0.25">
      <c r="A32" s="1"/>
      <c r="B32" s="1" t="s">
        <v>6</v>
      </c>
      <c r="C32" s="16">
        <f>1/3</f>
        <v>0.33333333333333331</v>
      </c>
      <c r="D32" s="3">
        <f>4/5</f>
        <v>0.8</v>
      </c>
      <c r="E32" s="3">
        <f t="shared" si="9"/>
        <v>1.1333333333333333</v>
      </c>
      <c r="F32" s="3">
        <f t="shared" si="10"/>
        <v>0.29411764705882354</v>
      </c>
      <c r="G32" s="3">
        <f t="shared" si="11"/>
        <v>0.41176470588235292</v>
      </c>
      <c r="H32" s="3">
        <f t="shared" si="16"/>
        <v>4.0646222144800849E-4</v>
      </c>
      <c r="I32" s="3">
        <f t="shared" si="12"/>
        <v>0.70588235294117641</v>
      </c>
      <c r="J32" s="3">
        <f t="shared" si="15"/>
        <v>0.1066556869079574</v>
      </c>
      <c r="K32" s="1">
        <f t="shared" si="13"/>
        <v>0.99240698557327256</v>
      </c>
      <c r="L32" s="1">
        <f t="shared" si="17"/>
        <v>0.98187311178247738</v>
      </c>
      <c r="M32" s="3">
        <f t="shared" si="14"/>
        <v>1.0533873790795178E-2</v>
      </c>
      <c r="N32" s="17">
        <f>M32/F45</f>
        <v>1.0601927692544273E-2</v>
      </c>
    </row>
    <row r="33" spans="1:14" x14ac:dyDescent="0.25">
      <c r="A33" s="1"/>
      <c r="B33" s="1" t="s">
        <v>7</v>
      </c>
      <c r="C33" s="16">
        <f>2/7</f>
        <v>0.2857142857142857</v>
      </c>
      <c r="D33" s="3">
        <f>5/6</f>
        <v>0.83333333333333337</v>
      </c>
      <c r="E33" s="3">
        <f t="shared" si="9"/>
        <v>1.1190476190476191</v>
      </c>
      <c r="F33" s="3">
        <f t="shared" si="10"/>
        <v>0.25531914893617019</v>
      </c>
      <c r="G33" s="3">
        <f t="shared" si="11"/>
        <v>0.48936170212765961</v>
      </c>
      <c r="H33" s="3">
        <f t="shared" si="16"/>
        <v>1.0377758845481067E-4</v>
      </c>
      <c r="I33" s="3">
        <f t="shared" si="12"/>
        <v>0.74468085106382986</v>
      </c>
      <c r="J33" s="3">
        <f t="shared" si="15"/>
        <v>7.9424447697415093E-2</v>
      </c>
      <c r="K33" s="1">
        <f t="shared" si="13"/>
        <v>0.99739016963897342</v>
      </c>
      <c r="L33" s="1">
        <f t="shared" si="17"/>
        <v>0.99240698557327256</v>
      </c>
      <c r="M33" s="3">
        <f t="shared" si="14"/>
        <v>4.983184065700863E-3</v>
      </c>
      <c r="N33" s="17">
        <f>M33/F45</f>
        <v>5.015377836533887E-3</v>
      </c>
    </row>
    <row r="34" spans="1:14" x14ac:dyDescent="0.25">
      <c r="A34" s="1"/>
      <c r="B34" s="1" t="s">
        <v>9</v>
      </c>
      <c r="C34" s="16">
        <v>1</v>
      </c>
      <c r="D34" s="3">
        <v>1</v>
      </c>
      <c r="E34" s="3">
        <f t="shared" si="9"/>
        <v>2</v>
      </c>
      <c r="F34" s="3">
        <f t="shared" si="10"/>
        <v>0.5</v>
      </c>
      <c r="G34" s="3">
        <f t="shared" si="11"/>
        <v>0</v>
      </c>
      <c r="H34" s="3">
        <f t="shared" si="16"/>
        <v>5.1888794227405335E-5</v>
      </c>
      <c r="I34" s="3">
        <f t="shared" si="12"/>
        <v>0.5</v>
      </c>
      <c r="J34" s="3">
        <f t="shared" si="15"/>
        <v>3.9712223848707547E-2</v>
      </c>
      <c r="K34" s="1">
        <f t="shared" si="13"/>
        <v>0.99739016963897342</v>
      </c>
      <c r="L34" s="1">
        <f t="shared" si="17"/>
        <v>0.99739016963897342</v>
      </c>
      <c r="M34" s="3">
        <f t="shared" si="14"/>
        <v>0</v>
      </c>
      <c r="N34" s="17">
        <f>M34/F45</f>
        <v>0</v>
      </c>
    </row>
    <row r="35" spans="1:14" x14ac:dyDescent="0.25">
      <c r="A35" s="1"/>
      <c r="B35" s="1" t="s">
        <v>10</v>
      </c>
      <c r="C35" s="16">
        <v>31.1</v>
      </c>
      <c r="D35" s="3">
        <v>27.7</v>
      </c>
      <c r="E35" s="3">
        <f t="shared" si="9"/>
        <v>58.8</v>
      </c>
      <c r="F35" s="3">
        <f t="shared" si="10"/>
        <v>0.52891156462585043</v>
      </c>
      <c r="G35" s="3">
        <f t="shared" si="11"/>
        <v>-5.7823129251700855E-2</v>
      </c>
      <c r="H35" s="3">
        <f t="shared" si="16"/>
        <v>2.7444583341365752E-5</v>
      </c>
      <c r="I35" s="3">
        <f t="shared" si="12"/>
        <v>0.47108843537414957</v>
      </c>
      <c r="J35" s="3">
        <f t="shared" si="15"/>
        <v>1.8707969398115625E-2</v>
      </c>
      <c r="K35" s="1">
        <f t="shared" si="13"/>
        <v>0.99707029870078889</v>
      </c>
      <c r="L35" s="1">
        <f t="shared" si="17"/>
        <v>0.99739016963897342</v>
      </c>
      <c r="M35" s="3">
        <f t="shared" si="14"/>
        <v>-3.1987093818452994E-4</v>
      </c>
      <c r="N35" s="17">
        <f>M35/F45</f>
        <v>-3.2193745861489834E-4</v>
      </c>
    </row>
    <row r="36" spans="1:14" x14ac:dyDescent="0.25">
      <c r="A36" s="1"/>
      <c r="B36" s="1" t="s">
        <v>12</v>
      </c>
      <c r="C36" s="16">
        <f>3/3</f>
        <v>1</v>
      </c>
      <c r="D36" s="3">
        <f>32/34</f>
        <v>0.94117647058823528</v>
      </c>
      <c r="E36" s="3">
        <f t="shared" si="9"/>
        <v>1.9411764705882353</v>
      </c>
      <c r="F36" s="3">
        <f t="shared" si="10"/>
        <v>0.51515151515151514</v>
      </c>
      <c r="G36" s="3">
        <f t="shared" si="11"/>
        <v>-3.0303030303030276E-2</v>
      </c>
      <c r="H36" s="3">
        <f t="shared" si="16"/>
        <v>1.4138118691006599E-5</v>
      </c>
      <c r="I36" s="3">
        <f t="shared" si="12"/>
        <v>0.48484848484848486</v>
      </c>
      <c r="J36" s="3">
        <f t="shared" si="15"/>
        <v>9.070530617268183E-3</v>
      </c>
      <c r="K36" s="1">
        <f t="shared" si="13"/>
        <v>0.99688747733089167</v>
      </c>
      <c r="L36" s="1">
        <f t="shared" si="17"/>
        <v>0.99707029870078889</v>
      </c>
      <c r="M36" s="3">
        <f t="shared" si="14"/>
        <v>-1.8282136989722364E-4</v>
      </c>
      <c r="N36" s="20">
        <f>M36/F45</f>
        <v>-1.8400248406203284E-4</v>
      </c>
    </row>
    <row r="37" spans="1:14" x14ac:dyDescent="0.25">
      <c r="A37" s="1"/>
      <c r="B37" s="1" t="s">
        <v>3</v>
      </c>
      <c r="C37" s="29">
        <v>220.7</v>
      </c>
      <c r="D37" s="8">
        <v>285.7</v>
      </c>
      <c r="E37" s="3">
        <f t="shared" si="9"/>
        <v>506.4</v>
      </c>
      <c r="F37" s="3">
        <f t="shared" si="10"/>
        <v>0.4358214849921011</v>
      </c>
      <c r="G37" s="3">
        <f t="shared" si="11"/>
        <v>0.12835703001579779</v>
      </c>
      <c r="H37" s="3">
        <f t="shared" si="16"/>
        <v>6.1616958829090763E-6</v>
      </c>
      <c r="I37" s="3">
        <f t="shared" si="12"/>
        <v>0.56417851500789884</v>
      </c>
      <c r="J37" s="3">
        <f t="shared" si="15"/>
        <v>5.1173984939840433E-3</v>
      </c>
      <c r="K37" s="1">
        <f t="shared" si="13"/>
        <v>0.9975947600283509</v>
      </c>
      <c r="L37" s="1">
        <f t="shared" si="17"/>
        <v>0.99688747733089167</v>
      </c>
      <c r="M37" s="3">
        <f t="shared" si="14"/>
        <v>7.0728269745923278E-4</v>
      </c>
      <c r="N37" s="17">
        <f>M37/F45</f>
        <v>7.1185208457717839E-4</v>
      </c>
    </row>
    <row r="38" spans="1:14" x14ac:dyDescent="0.25">
      <c r="A38" s="1"/>
      <c r="B38" s="7" t="s">
        <v>13</v>
      </c>
      <c r="C38" s="16">
        <v>0.98699999999999999</v>
      </c>
      <c r="D38" s="3">
        <v>0.93400000000000005</v>
      </c>
      <c r="E38" s="3">
        <f t="shared" si="9"/>
        <v>1.921</v>
      </c>
      <c r="F38" s="3">
        <f t="shared" si="10"/>
        <v>0.51379489849036963</v>
      </c>
      <c r="G38" s="3">
        <f t="shared" si="11"/>
        <v>-2.7589796980739267E-2</v>
      </c>
      <c r="H38" s="3">
        <f t="shared" si="16"/>
        <v>3.1658479106877973E-6</v>
      </c>
      <c r="I38" s="3">
        <f t="shared" si="12"/>
        <v>0.48620510150963037</v>
      </c>
      <c r="J38" s="3">
        <f t="shared" si="15"/>
        <v>2.4881052542327412E-3</v>
      </c>
      <c r="K38" s="1">
        <f t="shared" si="13"/>
        <v>0.99745844769124969</v>
      </c>
      <c r="L38" s="1">
        <f t="shared" si="17"/>
        <v>0.9975947600283509</v>
      </c>
      <c r="M38" s="3">
        <f t="shared" si="14"/>
        <v>-1.363123371012076E-4</v>
      </c>
      <c r="N38" s="17">
        <f>M38/F45</f>
        <v>-1.3719298049797785E-4</v>
      </c>
    </row>
    <row r="39" spans="1:14" x14ac:dyDescent="0.25">
      <c r="A39" s="1"/>
      <c r="B39" s="7" t="s">
        <v>14</v>
      </c>
      <c r="C39" s="29">
        <v>20</v>
      </c>
      <c r="D39" s="8">
        <v>15.4</v>
      </c>
      <c r="E39" s="3">
        <f t="shared" si="9"/>
        <v>35.4</v>
      </c>
      <c r="F39" s="3">
        <f t="shared" si="10"/>
        <v>0.56497175141242939</v>
      </c>
      <c r="G39" s="3">
        <f t="shared" si="11"/>
        <v>-0.12994350282485878</v>
      </c>
      <c r="H39" s="3">
        <f t="shared" si="16"/>
        <v>1.7886146388066651E-6</v>
      </c>
      <c r="I39" s="3">
        <f t="shared" si="12"/>
        <v>0.43502824858757061</v>
      </c>
      <c r="J39" s="3">
        <f t="shared" si="15"/>
        <v>1.0823960710504015E-3</v>
      </c>
      <c r="K39" s="1">
        <f t="shared" si="13"/>
        <v>0.99670053513499013</v>
      </c>
      <c r="L39" s="1">
        <f t="shared" si="17"/>
        <v>0.99745844769124969</v>
      </c>
      <c r="M39" s="3">
        <f t="shared" si="14"/>
        <v>-7.5791255625956566E-4</v>
      </c>
      <c r="N39" s="17">
        <f>M39/F45</f>
        <v>-7.6280903666767197E-4</v>
      </c>
    </row>
    <row r="40" spans="1:14" x14ac:dyDescent="0.25">
      <c r="A40" s="1"/>
      <c r="B40" s="7" t="s">
        <v>15</v>
      </c>
      <c r="C40" s="29">
        <v>229.5</v>
      </c>
      <c r="D40" s="8">
        <v>211</v>
      </c>
      <c r="E40" s="3">
        <f t="shared" si="9"/>
        <v>440.5</v>
      </c>
      <c r="F40" s="3">
        <f t="shared" si="10"/>
        <v>0.52099886492622016</v>
      </c>
      <c r="G40" s="3">
        <f t="shared" si="11"/>
        <v>-4.1997729852440324E-2</v>
      </c>
      <c r="H40" s="3">
        <f t="shared" si="16"/>
        <v>9.3186619660869377E-7</v>
      </c>
      <c r="I40" s="3">
        <f t="shared" si="12"/>
        <v>0.47900113507377984</v>
      </c>
      <c r="J40" s="3">
        <f t="shared" si="15"/>
        <v>5.18468946632542E-4</v>
      </c>
      <c r="K40" s="1">
        <f t="shared" si="13"/>
        <v>0.99641176458106462</v>
      </c>
      <c r="L40" s="1">
        <f t="shared" si="17"/>
        <v>0.99670053513499013</v>
      </c>
      <c r="M40" s="3">
        <f t="shared" si="14"/>
        <v>-2.8877055392551032E-4</v>
      </c>
      <c r="N40" s="17">
        <f>M40/F45</f>
        <v>-2.9063615088396742E-4</v>
      </c>
    </row>
    <row r="41" spans="1:14" x14ac:dyDescent="0.25">
      <c r="A41" s="1"/>
      <c r="B41" s="7" t="s">
        <v>16</v>
      </c>
      <c r="C41" s="16">
        <v>5.96E-2</v>
      </c>
      <c r="D41" s="3">
        <v>3.4599999999999999E-2</v>
      </c>
      <c r="E41" s="3">
        <f t="shared" si="9"/>
        <v>9.4200000000000006E-2</v>
      </c>
      <c r="F41" s="3">
        <f t="shared" si="10"/>
        <v>0.63269639065817407</v>
      </c>
      <c r="G41" s="3">
        <f t="shared" si="11"/>
        <v>-0.26539278131634814</v>
      </c>
      <c r="H41" s="3">
        <f t="shared" si="16"/>
        <v>5.8958837917068097E-7</v>
      </c>
      <c r="I41" s="3">
        <f t="shared" si="12"/>
        <v>0.36730360934182593</v>
      </c>
      <c r="J41" s="3">
        <f t="shared" si="15"/>
        <v>1.9043551542978721E-4</v>
      </c>
      <c r="K41" s="1">
        <f t="shared" si="13"/>
        <v>0.99382711101928967</v>
      </c>
      <c r="L41" s="1">
        <f t="shared" si="17"/>
        <v>0.99641176458106462</v>
      </c>
      <c r="M41" s="3">
        <f t="shared" si="14"/>
        <v>-2.5846535617749522E-3</v>
      </c>
      <c r="N41" s="17">
        <f>M41/F45</f>
        <v>-2.6013516695216183E-3</v>
      </c>
    </row>
    <row r="42" spans="1:14" x14ac:dyDescent="0.25">
      <c r="A42" s="1"/>
      <c r="B42" s="7" t="s">
        <v>17</v>
      </c>
      <c r="C42" s="16">
        <v>0.52</v>
      </c>
      <c r="D42" s="3">
        <v>0.5</v>
      </c>
      <c r="E42" s="3">
        <f t="shared" si="9"/>
        <v>1.02</v>
      </c>
      <c r="F42" s="3">
        <f t="shared" si="10"/>
        <v>0.50980392156862742</v>
      </c>
      <c r="G42" s="3">
        <f t="shared" si="11"/>
        <v>-1.9607843137254832E-2</v>
      </c>
      <c r="H42" s="3">
        <f t="shared" si="16"/>
        <v>3.0057446781250402E-7</v>
      </c>
      <c r="I42" s="3">
        <f t="shared" si="12"/>
        <v>0.49019607843137258</v>
      </c>
      <c r="J42" s="3">
        <f t="shared" si="15"/>
        <v>9.3350742857738829E-5</v>
      </c>
      <c r="K42" s="1">
        <f t="shared" si="13"/>
        <v>0.99358098793703786</v>
      </c>
      <c r="L42" s="1">
        <f>K41</f>
        <v>0.99382711101928967</v>
      </c>
      <c r="M42" s="3">
        <f t="shared" si="14"/>
        <v>-2.4612308225180346E-4</v>
      </c>
      <c r="N42" s="17">
        <f>M42/F45</f>
        <v>-2.4771315598824645E-4</v>
      </c>
    </row>
    <row r="43" spans="1:14" x14ac:dyDescent="0.25">
      <c r="C43" s="30"/>
      <c r="D43" s="2"/>
      <c r="E43" s="1"/>
      <c r="F43" s="1"/>
      <c r="G43" s="1"/>
      <c r="H43" s="1"/>
      <c r="I43" s="1"/>
      <c r="J43" s="1"/>
      <c r="K43" s="1"/>
      <c r="L43" s="1"/>
      <c r="M43" s="1"/>
      <c r="N43" s="20"/>
    </row>
    <row r="44" spans="1:14" x14ac:dyDescent="0.25">
      <c r="C44" s="31"/>
      <c r="D44" s="5"/>
      <c r="E44" s="5" t="s">
        <v>25</v>
      </c>
      <c r="F44" s="6">
        <f>PRODUCT(F27:F42)</f>
        <v>3.0057446781250402E-7</v>
      </c>
      <c r="G44" s="1"/>
      <c r="H44" s="6"/>
      <c r="I44" s="6">
        <f>PRODUCT(I27:I42)</f>
        <v>9.3350742857738829E-5</v>
      </c>
      <c r="J44" s="1"/>
      <c r="K44" s="1"/>
      <c r="L44" s="1"/>
      <c r="M44" s="1"/>
      <c r="N44" s="38"/>
    </row>
    <row r="45" spans="1:14" x14ac:dyDescent="0.25">
      <c r="C45" s="31"/>
      <c r="D45" s="5"/>
      <c r="E45" s="5" t="s">
        <v>26</v>
      </c>
      <c r="F45" s="5">
        <f>1-2*(F44/(F44+I44))</f>
        <v>0.99358098793703786</v>
      </c>
      <c r="G45" s="1"/>
      <c r="H45" s="5"/>
      <c r="I45" s="5"/>
      <c r="J45" s="1"/>
      <c r="K45" s="1"/>
      <c r="L45" s="1"/>
      <c r="M45" s="1"/>
      <c r="N45" s="20"/>
    </row>
    <row r="46" spans="1:14" x14ac:dyDescent="0.25">
      <c r="C46" s="19"/>
      <c r="D46" s="1"/>
      <c r="E46" s="1"/>
      <c r="F46" s="1"/>
      <c r="G46" s="1"/>
      <c r="H46" s="1"/>
      <c r="I46" s="1"/>
      <c r="J46" s="1"/>
      <c r="K46" s="1"/>
      <c r="L46" s="1"/>
      <c r="M46" s="1"/>
      <c r="N46" s="20"/>
    </row>
    <row r="47" spans="1:14" x14ac:dyDescent="0.25">
      <c r="A47" s="1"/>
      <c r="B47" s="1" t="s">
        <v>34</v>
      </c>
      <c r="C47" s="16" t="s">
        <v>11</v>
      </c>
      <c r="D47" s="3" t="s">
        <v>11</v>
      </c>
      <c r="E47" s="3" t="s">
        <v>11</v>
      </c>
      <c r="F47" s="3" t="s">
        <v>11</v>
      </c>
      <c r="G47" s="3" t="s">
        <v>11</v>
      </c>
      <c r="H47" s="3" t="s">
        <v>11</v>
      </c>
      <c r="I47" s="3" t="s">
        <v>11</v>
      </c>
      <c r="J47" s="3" t="s">
        <v>11</v>
      </c>
      <c r="K47" s="3" t="s">
        <v>11</v>
      </c>
      <c r="L47" s="3" t="s">
        <v>11</v>
      </c>
      <c r="M47" s="3" t="s">
        <v>11</v>
      </c>
      <c r="N47" s="17" t="s">
        <v>11</v>
      </c>
    </row>
    <row r="48" spans="1:14" x14ac:dyDescent="0.25">
      <c r="A48" s="1"/>
      <c r="B48" s="1" t="s">
        <v>4</v>
      </c>
      <c r="C48" s="39" t="s">
        <v>11</v>
      </c>
      <c r="D48" s="40" t="s">
        <v>11</v>
      </c>
      <c r="E48" s="40" t="s">
        <v>11</v>
      </c>
      <c r="F48" s="40" t="s">
        <v>11</v>
      </c>
      <c r="G48" s="40" t="s">
        <v>11</v>
      </c>
      <c r="H48" s="40" t="s">
        <v>11</v>
      </c>
      <c r="I48" s="40" t="s">
        <v>11</v>
      </c>
      <c r="J48" s="40" t="s">
        <v>11</v>
      </c>
      <c r="K48" s="40" t="s">
        <v>11</v>
      </c>
      <c r="L48" s="40" t="s">
        <v>11</v>
      </c>
      <c r="M48" s="40" t="s">
        <v>11</v>
      </c>
      <c r="N48" s="41" t="s">
        <v>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0" workbookViewId="0">
      <selection activeCell="F42" sqref="F42:F44"/>
    </sheetView>
  </sheetViews>
  <sheetFormatPr defaultColWidth="11" defaultRowHeight="15.75" x14ac:dyDescent="0.25"/>
  <cols>
    <col min="2" max="2" width="8.5" customWidth="1"/>
    <col min="3" max="3" width="8.625" customWidth="1"/>
    <col min="4" max="4" width="9.625" customWidth="1"/>
    <col min="10" max="11" width="11.5" bestFit="1" customWidth="1"/>
    <col min="12" max="12" width="7.625" customWidth="1"/>
    <col min="13" max="13" width="9" customWidth="1"/>
  </cols>
  <sheetData>
    <row r="1" spans="1:13" x14ac:dyDescent="0.25">
      <c r="A1" s="10"/>
      <c r="B1" s="11" t="s">
        <v>21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5" t="s">
        <v>0</v>
      </c>
      <c r="B2" s="12" t="s">
        <v>18</v>
      </c>
      <c r="C2" s="13" t="s">
        <v>19</v>
      </c>
      <c r="D2" s="13" t="s">
        <v>20</v>
      </c>
      <c r="E2" s="13" t="s">
        <v>22</v>
      </c>
      <c r="F2" s="13" t="s">
        <v>24</v>
      </c>
      <c r="G2" s="13" t="s">
        <v>33</v>
      </c>
      <c r="H2" s="13" t="s">
        <v>23</v>
      </c>
      <c r="I2" s="13" t="s">
        <v>29</v>
      </c>
      <c r="J2" s="14" t="s">
        <v>30</v>
      </c>
      <c r="K2" s="14" t="s">
        <v>31</v>
      </c>
      <c r="L2" s="14" t="s">
        <v>28</v>
      </c>
      <c r="M2" s="15" t="s">
        <v>5</v>
      </c>
    </row>
    <row r="3" spans="1:13" x14ac:dyDescent="0.25">
      <c r="A3" s="1" t="s">
        <v>2</v>
      </c>
      <c r="B3" s="16">
        <v>0.5</v>
      </c>
      <c r="C3" s="3">
        <v>0.46341463414634149</v>
      </c>
      <c r="D3" s="3">
        <v>0.96341463414634143</v>
      </c>
      <c r="E3" s="3">
        <v>0.51898734177215189</v>
      </c>
      <c r="F3" s="3">
        <v>-3.7974683544303778E-2</v>
      </c>
      <c r="G3" s="3">
        <v>0.51898734177215189</v>
      </c>
      <c r="H3" s="3">
        <v>0.48101265822784811</v>
      </c>
      <c r="I3" s="3">
        <v>0.48101265822784811</v>
      </c>
      <c r="J3" s="3">
        <v>-3.7974683544303778E-2</v>
      </c>
      <c r="K3" s="3">
        <v>0</v>
      </c>
      <c r="L3" s="3">
        <v>-3.7974683544303778E-2</v>
      </c>
      <c r="M3" s="17">
        <v>-3.8214699951620808E-2</v>
      </c>
    </row>
    <row r="4" spans="1:13" x14ac:dyDescent="0.25">
      <c r="A4" s="1" t="s">
        <v>32</v>
      </c>
      <c r="B4" s="16">
        <v>0.66666666666666663</v>
      </c>
      <c r="C4" s="3">
        <v>0.95</v>
      </c>
      <c r="D4" s="3">
        <v>1.6166666666666667</v>
      </c>
      <c r="E4" s="3">
        <v>0.41237113402061853</v>
      </c>
      <c r="F4" s="3">
        <v>0.17525773195876293</v>
      </c>
      <c r="G4" s="3">
        <v>0.2140153986689286</v>
      </c>
      <c r="H4" s="3">
        <v>0.58762886597938147</v>
      </c>
      <c r="I4" s="3">
        <v>0.28265692287615818</v>
      </c>
      <c r="J4" s="3">
        <v>0.13820283762480301</v>
      </c>
      <c r="K4" s="3">
        <v>-3.7974683544303778E-2</v>
      </c>
      <c r="L4" s="3">
        <v>0.17617752116910679</v>
      </c>
      <c r="M4" s="17">
        <v>0.17729103922204056</v>
      </c>
    </row>
    <row r="5" spans="1:13" x14ac:dyDescent="0.25">
      <c r="A5" s="1" t="s">
        <v>6</v>
      </c>
      <c r="B5" s="16">
        <v>0.33333333333333331</v>
      </c>
      <c r="C5" s="3">
        <v>0.92307692307692313</v>
      </c>
      <c r="D5" s="3">
        <v>1.2564102564102564</v>
      </c>
      <c r="E5" s="3">
        <v>0.26530612244897961</v>
      </c>
      <c r="F5" s="3">
        <v>0.46938775510204078</v>
      </c>
      <c r="G5" s="3">
        <v>5.6779595565225958E-2</v>
      </c>
      <c r="H5" s="3">
        <v>0.73469387755102034</v>
      </c>
      <c r="I5" s="3">
        <v>0.20766631068452435</v>
      </c>
      <c r="J5" s="3">
        <v>0.57057686110215911</v>
      </c>
      <c r="K5" s="3">
        <v>0.13820283762480301</v>
      </c>
      <c r="L5" s="3">
        <v>0.4323740234773561</v>
      </c>
      <c r="M5" s="17">
        <v>0.43510681411697189</v>
      </c>
    </row>
    <row r="6" spans="1:13" x14ac:dyDescent="0.25">
      <c r="A6" s="7" t="s">
        <v>7</v>
      </c>
      <c r="B6" s="18">
        <v>0.14285714285714285</v>
      </c>
      <c r="C6" s="4">
        <v>0.44736842105263158</v>
      </c>
      <c r="D6" s="3">
        <v>0.59022556390977443</v>
      </c>
      <c r="E6" s="3">
        <v>0.24203821656050956</v>
      </c>
      <c r="F6" s="3">
        <v>0.51592356687898089</v>
      </c>
      <c r="G6" s="3">
        <v>1.3742832047634308E-2</v>
      </c>
      <c r="H6" s="3">
        <v>0.7579617834394905</v>
      </c>
      <c r="I6" s="3">
        <v>0.15740312720674141</v>
      </c>
      <c r="J6" s="3">
        <v>0.8394022025701674</v>
      </c>
      <c r="K6" s="3">
        <v>0.57057686110215911</v>
      </c>
      <c r="L6" s="3">
        <v>0.26882534146800829</v>
      </c>
      <c r="M6" s="17">
        <v>0.27052443377458801</v>
      </c>
    </row>
    <row r="7" spans="1:13" x14ac:dyDescent="0.25">
      <c r="A7" s="1" t="s">
        <v>32</v>
      </c>
      <c r="B7" s="16">
        <v>0.8571428571428571</v>
      </c>
      <c r="C7" s="3">
        <v>0.95</v>
      </c>
      <c r="D7" s="3">
        <v>1.8071428571428569</v>
      </c>
      <c r="E7" s="3">
        <v>0.47430830039525695</v>
      </c>
      <c r="F7" s="3">
        <v>5.1383399209486091E-2</v>
      </c>
      <c r="G7" s="3">
        <v>6.5183393111308977E-3</v>
      </c>
      <c r="H7" s="3">
        <v>0.52569169960474305</v>
      </c>
      <c r="I7" s="3">
        <v>8.2745517464413457E-2</v>
      </c>
      <c r="J7" s="3">
        <v>0.85395344663358241</v>
      </c>
      <c r="K7" s="3">
        <v>0.8394022025701674</v>
      </c>
      <c r="L7" s="3">
        <v>1.4551244063415014E-2</v>
      </c>
      <c r="M7" s="17">
        <v>1.4643214212896827E-2</v>
      </c>
    </row>
    <row r="8" spans="1:13" x14ac:dyDescent="0.25">
      <c r="A8" s="1" t="s">
        <v>6</v>
      </c>
      <c r="B8" s="16">
        <v>0.5</v>
      </c>
      <c r="C8" s="3">
        <v>0.92307692307692313</v>
      </c>
      <c r="D8" s="3">
        <v>1.4230769230769231</v>
      </c>
      <c r="E8" s="3">
        <v>0.35135135135135132</v>
      </c>
      <c r="F8" s="3">
        <v>0.29729729729729737</v>
      </c>
      <c r="G8" s="3">
        <v>2.2902273255324774E-3</v>
      </c>
      <c r="H8" s="3">
        <v>0.64864864864864868</v>
      </c>
      <c r="I8" s="3">
        <v>5.3672768085024948E-2</v>
      </c>
      <c r="J8" s="3">
        <v>0.9181520821488971</v>
      </c>
      <c r="K8" s="3">
        <v>0.85395344663358241</v>
      </c>
      <c r="L8" s="3">
        <v>6.4198635515314684E-2</v>
      </c>
      <c r="M8" s="17">
        <v>6.4604398629392115E-2</v>
      </c>
    </row>
    <row r="9" spans="1:13" x14ac:dyDescent="0.25">
      <c r="A9" s="1" t="s">
        <v>7</v>
      </c>
      <c r="B9" s="16">
        <v>0.1</v>
      </c>
      <c r="C9" s="3">
        <v>0.44736842105263158</v>
      </c>
      <c r="D9" s="3">
        <v>0.54736842105263162</v>
      </c>
      <c r="E9" s="3">
        <v>0.18269230769230768</v>
      </c>
      <c r="F9" s="3">
        <v>0.63461538461538458</v>
      </c>
      <c r="G9" s="3">
        <v>4.1840691524151026E-4</v>
      </c>
      <c r="H9" s="3">
        <v>0.81730769230769229</v>
      </c>
      <c r="I9" s="3">
        <v>4.3867166223337695E-2</v>
      </c>
      <c r="J9" s="3">
        <v>0.98110414360305453</v>
      </c>
      <c r="K9" s="3">
        <v>0.9181520821488971</v>
      </c>
      <c r="L9" s="3">
        <v>6.2952061454157437E-2</v>
      </c>
      <c r="M9" s="17">
        <v>6.3349945681574371E-2</v>
      </c>
    </row>
    <row r="10" spans="1:13" x14ac:dyDescent="0.25">
      <c r="A10" s="1" t="s">
        <v>9</v>
      </c>
      <c r="B10" s="16">
        <v>1</v>
      </c>
      <c r="C10" s="3">
        <v>1</v>
      </c>
      <c r="D10" s="3">
        <v>2</v>
      </c>
      <c r="E10" s="3">
        <v>0.5</v>
      </c>
      <c r="F10" s="3">
        <v>0</v>
      </c>
      <c r="G10" s="3">
        <v>2.0920345762075513E-4</v>
      </c>
      <c r="H10" s="3">
        <v>0.5</v>
      </c>
      <c r="I10" s="3">
        <v>2.1933583111668847E-2</v>
      </c>
      <c r="J10" s="3">
        <v>0.98110414360305453</v>
      </c>
      <c r="K10" s="3">
        <v>0.98110414360305453</v>
      </c>
      <c r="L10" s="3">
        <v>0</v>
      </c>
      <c r="M10" s="17">
        <v>0</v>
      </c>
    </row>
    <row r="11" spans="1:13" x14ac:dyDescent="0.25">
      <c r="A11" s="1" t="s">
        <v>10</v>
      </c>
      <c r="B11" s="18">
        <v>21.9</v>
      </c>
      <c r="C11" s="4">
        <v>19.899999999999999</v>
      </c>
      <c r="D11" s="3">
        <v>41.8</v>
      </c>
      <c r="E11" s="3">
        <v>0.52392344497607657</v>
      </c>
      <c r="F11" s="3">
        <v>-4.7846889952153138E-2</v>
      </c>
      <c r="G11" s="3">
        <v>1.0960659621757266E-4</v>
      </c>
      <c r="H11" s="3">
        <v>0.47607655502392343</v>
      </c>
      <c r="I11" s="3">
        <v>1.0442064687134212E-2</v>
      </c>
      <c r="J11" s="3">
        <v>0.97922478946240343</v>
      </c>
      <c r="K11" s="3">
        <v>0.98110414360305453</v>
      </c>
      <c r="L11" s="3">
        <v>-1.8793541406511016E-3</v>
      </c>
      <c r="M11" s="17">
        <v>-1.8912324708125422E-3</v>
      </c>
    </row>
    <row r="12" spans="1:13" x14ac:dyDescent="0.25">
      <c r="A12" s="1" t="s">
        <v>34</v>
      </c>
      <c r="B12" s="16">
        <v>0.44444444444444442</v>
      </c>
      <c r="C12" s="3">
        <v>0.970873786407767</v>
      </c>
      <c r="D12" s="3">
        <v>1.4153182308522114</v>
      </c>
      <c r="E12" s="3">
        <v>0.31402439024390244</v>
      </c>
      <c r="F12" s="3">
        <v>0.37195121951219512</v>
      </c>
      <c r="G12" s="3">
        <v>3.4419144543932877E-5</v>
      </c>
      <c r="H12" s="3">
        <v>0.68597560975609762</v>
      </c>
      <c r="I12" s="3">
        <v>7.1630016908695053E-3</v>
      </c>
      <c r="J12" s="3">
        <v>0.99043570041796625</v>
      </c>
      <c r="K12" s="3">
        <v>0.97922478946240343</v>
      </c>
      <c r="L12" s="3">
        <v>1.1210910955562814E-2</v>
      </c>
      <c r="M12" s="17">
        <v>1.1281768756580855E-2</v>
      </c>
    </row>
    <row r="13" spans="1:13" x14ac:dyDescent="0.25">
      <c r="A13" s="1" t="s">
        <v>12</v>
      </c>
      <c r="B13" s="16">
        <v>0.76923076923076927</v>
      </c>
      <c r="C13" s="3">
        <v>0.94285714285714284</v>
      </c>
      <c r="D13" s="3">
        <v>1.7120879120879122</v>
      </c>
      <c r="E13" s="3">
        <v>0.44929396662387677</v>
      </c>
      <c r="F13" s="3">
        <v>0.10141206675224645</v>
      </c>
      <c r="G13" s="3">
        <v>1.5464313979944169E-5</v>
      </c>
      <c r="H13" s="3">
        <v>0.55070603337612323</v>
      </c>
      <c r="I13" s="3">
        <v>3.944708248245209E-3</v>
      </c>
      <c r="J13" s="3">
        <v>0.99219008074170634</v>
      </c>
      <c r="K13" s="3">
        <v>0.99043570041796625</v>
      </c>
      <c r="L13" s="3">
        <v>1.7543803237400901E-3</v>
      </c>
      <c r="M13" s="17">
        <v>1.7654687653825471E-3</v>
      </c>
    </row>
    <row r="14" spans="1:13" x14ac:dyDescent="0.25">
      <c r="A14" s="1" t="s">
        <v>3</v>
      </c>
      <c r="B14" s="16">
        <v>220.7</v>
      </c>
      <c r="C14" s="3">
        <v>268.39999999999998</v>
      </c>
      <c r="D14" s="3">
        <v>489.09999999999997</v>
      </c>
      <c r="E14" s="3">
        <v>0.45123696585565326</v>
      </c>
      <c r="F14" s="3">
        <v>9.7526068288693479E-2</v>
      </c>
      <c r="G14" s="3">
        <v>6.9780701193491689E-6</v>
      </c>
      <c r="H14" s="3">
        <v>0.5487630341443468</v>
      </c>
      <c r="I14" s="3">
        <v>2.1647100671212719E-3</v>
      </c>
      <c r="J14" s="3">
        <v>0.99357359834528025</v>
      </c>
      <c r="K14" s="3">
        <v>0.99219008074170634</v>
      </c>
      <c r="L14" s="3">
        <v>1.3835176035739138E-3</v>
      </c>
      <c r="M14" s="17">
        <v>1.3922620325902155E-3</v>
      </c>
    </row>
    <row r="15" spans="1:13" x14ac:dyDescent="0.25">
      <c r="A15" s="1" t="s">
        <v>4</v>
      </c>
      <c r="B15" s="16">
        <v>0.87</v>
      </c>
      <c r="C15" s="3">
        <v>0.9</v>
      </c>
      <c r="D15" s="3">
        <v>1.77</v>
      </c>
      <c r="E15" s="3">
        <v>0.49152542372881353</v>
      </c>
      <c r="F15" s="3">
        <v>1.6949152542372947E-2</v>
      </c>
      <c r="G15" s="3">
        <v>3.4298988722224725E-6</v>
      </c>
      <c r="H15" s="3">
        <v>0.50847457627118642</v>
      </c>
      <c r="I15" s="3">
        <v>1.1007000341294601E-3</v>
      </c>
      <c r="J15" s="3">
        <v>0.99378714629554876</v>
      </c>
      <c r="K15" s="3">
        <v>0.99357359834528025</v>
      </c>
      <c r="L15" s="3">
        <v>2.1354795026851114E-4</v>
      </c>
      <c r="M15" s="17">
        <v>2.148976655795964E-4</v>
      </c>
    </row>
    <row r="16" spans="1:13" x14ac:dyDescent="0.25">
      <c r="A16" s="7" t="s">
        <v>13</v>
      </c>
      <c r="B16" s="16">
        <v>0.98699999999999999</v>
      </c>
      <c r="C16" s="3">
        <v>0.92800000000000005</v>
      </c>
      <c r="D16" s="3">
        <v>1.915</v>
      </c>
      <c r="E16" s="3">
        <v>0.51540469973890335</v>
      </c>
      <c r="F16" s="3">
        <v>-3.0809399477806698E-2</v>
      </c>
      <c r="G16" s="3">
        <v>1.7677859983726266E-6</v>
      </c>
      <c r="H16" s="3">
        <v>0.48459530026109665</v>
      </c>
      <c r="I16" s="3">
        <v>5.3339406353636505E-4</v>
      </c>
      <c r="J16" s="3">
        <v>0.99339345284081992</v>
      </c>
      <c r="K16" s="3">
        <v>0.99378714629554876</v>
      </c>
      <c r="L16" s="3">
        <v>-3.9369345472883843E-4</v>
      </c>
      <c r="M16" s="17">
        <v>-3.9618176746166226E-4</v>
      </c>
    </row>
    <row r="17" spans="1:13" x14ac:dyDescent="0.25">
      <c r="A17" s="7" t="s">
        <v>14</v>
      </c>
      <c r="B17" s="16">
        <v>19.399999999999999</v>
      </c>
      <c r="C17" s="3">
        <v>18.600000000000001</v>
      </c>
      <c r="D17" s="3">
        <v>38</v>
      </c>
      <c r="E17" s="3">
        <v>0.51052631578947361</v>
      </c>
      <c r="F17" s="3">
        <v>-2.1052631578947212E-2</v>
      </c>
      <c r="G17" s="3">
        <v>9.0250127285339342E-7</v>
      </c>
      <c r="H17" s="3">
        <v>0.48947368421052639</v>
      </c>
      <c r="I17" s="3">
        <v>2.610823574151682E-4</v>
      </c>
      <c r="J17" s="3">
        <v>0.99311027914076422</v>
      </c>
      <c r="K17" s="3">
        <v>0.99339345284081992</v>
      </c>
      <c r="L17" s="3">
        <v>-2.8317370005570552E-4</v>
      </c>
      <c r="M17" s="17">
        <v>-2.8496348018790192E-4</v>
      </c>
    </row>
    <row r="18" spans="1:13" x14ac:dyDescent="0.25">
      <c r="A18" s="7" t="s">
        <v>15</v>
      </c>
      <c r="B18" s="16">
        <v>229.5</v>
      </c>
      <c r="C18" s="3">
        <v>269.89999999999998</v>
      </c>
      <c r="D18" s="3">
        <v>499.4</v>
      </c>
      <c r="E18" s="3">
        <v>0.45955146175410494</v>
      </c>
      <c r="F18" s="3">
        <v>8.0897076491790121E-2</v>
      </c>
      <c r="G18" s="3">
        <v>4.1474577917471724E-7</v>
      </c>
      <c r="H18" s="3">
        <v>0.540448538245895</v>
      </c>
      <c r="I18" s="3">
        <v>1.4110157842681995E-4</v>
      </c>
      <c r="J18" s="3">
        <v>0.99413854505475985</v>
      </c>
      <c r="K18" s="3">
        <v>0.99311027914076422</v>
      </c>
      <c r="L18" s="3">
        <v>1.0282659139956296E-3</v>
      </c>
      <c r="M18" s="17">
        <v>1.0347649988439829E-3</v>
      </c>
    </row>
    <row r="19" spans="1:13" x14ac:dyDescent="0.25">
      <c r="A19" s="7" t="s">
        <v>16</v>
      </c>
      <c r="B19" s="16">
        <v>5.96E-2</v>
      </c>
      <c r="C19" s="3">
        <v>5.67E-2</v>
      </c>
      <c r="D19" s="3">
        <v>0.1163</v>
      </c>
      <c r="E19" s="3">
        <v>0.51246775580395532</v>
      </c>
      <c r="F19" s="3">
        <v>-2.4935511607910632E-2</v>
      </c>
      <c r="G19" s="3">
        <v>2.1254383868283018E-7</v>
      </c>
      <c r="H19" s="3">
        <v>0.48753224419604468</v>
      </c>
      <c r="I19" s="3">
        <v>6.8791569190031736E-5</v>
      </c>
      <c r="J19" s="3">
        <v>0.99383967623511416</v>
      </c>
      <c r="K19" s="3">
        <v>0.99413854505475985</v>
      </c>
      <c r="L19" s="3">
        <v>-2.9886881964569234E-4</v>
      </c>
      <c r="M19" s="17">
        <v>-3.0075779971492061E-4</v>
      </c>
    </row>
    <row r="20" spans="1:13" x14ac:dyDescent="0.25">
      <c r="A20" s="7" t="s">
        <v>17</v>
      </c>
      <c r="B20" s="16">
        <v>0.52</v>
      </c>
      <c r="C20" s="3">
        <v>0.51</v>
      </c>
      <c r="D20" s="3">
        <v>1.03</v>
      </c>
      <c r="E20" s="3">
        <v>0.50485436893203883</v>
      </c>
      <c r="F20" s="3">
        <v>-9.7087378640776656E-3</v>
      </c>
      <c r="G20" s="3">
        <v>1.0730368554861329E-7</v>
      </c>
      <c r="H20" s="3">
        <v>0.49514563106796117</v>
      </c>
      <c r="I20" s="3">
        <v>3.4061844938753578E-5</v>
      </c>
      <c r="J20" s="3">
        <v>0.99371926490013296</v>
      </c>
      <c r="K20" s="3">
        <v>0.99383967623511416</v>
      </c>
      <c r="L20" s="3">
        <v>-1.2041133498119638E-4</v>
      </c>
      <c r="M20" s="17">
        <v>-1.2117238664312049E-4</v>
      </c>
    </row>
    <row r="21" spans="1:13" x14ac:dyDescent="0.25">
      <c r="A21" s="1"/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20"/>
    </row>
    <row r="22" spans="1:13" x14ac:dyDescent="0.25">
      <c r="A22" s="1"/>
      <c r="B22" s="19"/>
      <c r="C22" s="1"/>
      <c r="D22" s="5" t="s">
        <v>25</v>
      </c>
      <c r="E22" s="6">
        <v>1.0730368554861329E-7</v>
      </c>
      <c r="F22" s="1"/>
      <c r="G22" s="6"/>
      <c r="H22" s="6">
        <v>3.4061844938753578E-5</v>
      </c>
      <c r="I22" s="1"/>
      <c r="J22" s="1"/>
      <c r="K22" s="1"/>
      <c r="L22" s="6"/>
      <c r="M22" s="21"/>
    </row>
    <row r="23" spans="1:13" x14ac:dyDescent="0.25">
      <c r="A23" s="1"/>
      <c r="B23" s="22"/>
      <c r="C23" s="23"/>
      <c r="D23" s="24" t="s">
        <v>26</v>
      </c>
      <c r="E23" s="24">
        <v>0.99371926490013296</v>
      </c>
      <c r="F23" s="23"/>
      <c r="G23" s="24"/>
      <c r="H23" s="24"/>
      <c r="I23" s="24"/>
      <c r="J23" s="24"/>
      <c r="K23" s="24"/>
      <c r="L23" s="24"/>
      <c r="M23" s="42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6"/>
      <c r="B25" s="27" t="s">
        <v>27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s="5" t="s">
        <v>0</v>
      </c>
      <c r="B26" s="12" t="s">
        <v>18</v>
      </c>
      <c r="C26" s="13" t="s">
        <v>19</v>
      </c>
      <c r="D26" s="13" t="s">
        <v>20</v>
      </c>
      <c r="E26" s="13" t="s">
        <v>22</v>
      </c>
      <c r="F26" s="13" t="s">
        <v>24</v>
      </c>
      <c r="G26" s="13" t="s">
        <v>33</v>
      </c>
      <c r="H26" s="13" t="s">
        <v>23</v>
      </c>
      <c r="I26" s="13" t="s">
        <v>29</v>
      </c>
      <c r="J26" s="14" t="s">
        <v>30</v>
      </c>
      <c r="K26" s="14" t="s">
        <v>31</v>
      </c>
      <c r="L26" s="14" t="s">
        <v>28</v>
      </c>
      <c r="M26" s="15" t="s">
        <v>5</v>
      </c>
    </row>
    <row r="27" spans="1:13" x14ac:dyDescent="0.25">
      <c r="A27" s="1" t="s">
        <v>2</v>
      </c>
      <c r="B27" s="16">
        <v>0.53658536585365857</v>
      </c>
      <c r="C27" s="3">
        <v>0.5</v>
      </c>
      <c r="D27" s="3">
        <v>1.0365853658536586</v>
      </c>
      <c r="E27" s="3">
        <v>0.51764705882352946</v>
      </c>
      <c r="F27" s="3">
        <v>-3.529411764705892E-2</v>
      </c>
      <c r="G27" s="3">
        <v>0.51764705882352946</v>
      </c>
      <c r="H27" s="3">
        <v>0.48235294117647054</v>
      </c>
      <c r="I27" s="3">
        <v>0.48235294117647054</v>
      </c>
      <c r="J27" s="3">
        <v>-3.529411764705892E-2</v>
      </c>
      <c r="K27" s="3">
        <v>0</v>
      </c>
      <c r="L27" s="3">
        <v>-3.529411764705892E-2</v>
      </c>
      <c r="M27" s="17">
        <v>-3.5522134657930339E-2</v>
      </c>
    </row>
    <row r="28" spans="1:13" x14ac:dyDescent="0.25">
      <c r="A28" s="1" t="s">
        <v>32</v>
      </c>
      <c r="B28" s="16">
        <v>0.25</v>
      </c>
      <c r="C28" s="3">
        <v>1</v>
      </c>
      <c r="D28" s="3">
        <v>1.25</v>
      </c>
      <c r="E28" s="3">
        <v>0.2</v>
      </c>
      <c r="F28" s="3">
        <v>0.6</v>
      </c>
      <c r="G28" s="3">
        <v>0.1035294117647059</v>
      </c>
      <c r="H28" s="3">
        <v>0.8</v>
      </c>
      <c r="I28" s="3">
        <v>0.38588235294117645</v>
      </c>
      <c r="J28" s="3">
        <v>0.57692307692307687</v>
      </c>
      <c r="K28" s="3">
        <v>-3.529411764705892E-2</v>
      </c>
      <c r="L28" s="3">
        <v>0.61221719457013579</v>
      </c>
      <c r="M28" s="17">
        <v>0.61617241272025158</v>
      </c>
    </row>
    <row r="29" spans="1:13" x14ac:dyDescent="0.25">
      <c r="A29" s="1" t="s">
        <v>6</v>
      </c>
      <c r="B29" s="16">
        <v>0.2857142857142857</v>
      </c>
      <c r="C29" s="3">
        <v>0.8</v>
      </c>
      <c r="D29" s="3">
        <v>1.0857142857142859</v>
      </c>
      <c r="E29" s="3">
        <v>0.26315789473684204</v>
      </c>
      <c r="F29" s="3">
        <v>0.47368421052631593</v>
      </c>
      <c r="G29" s="3">
        <v>2.7244582043343651E-2</v>
      </c>
      <c r="H29" s="3">
        <v>0.73684210526315796</v>
      </c>
      <c r="I29" s="3">
        <v>0.28433436532507739</v>
      </c>
      <c r="J29" s="3">
        <v>0.82511923688394284</v>
      </c>
      <c r="K29" s="3">
        <v>0.57692307692307687</v>
      </c>
      <c r="L29" s="3">
        <v>0.24819615996086597</v>
      </c>
      <c r="M29" s="17">
        <v>0.24979962677848047</v>
      </c>
    </row>
    <row r="30" spans="1:13" x14ac:dyDescent="0.25">
      <c r="A30" s="7" t="s">
        <v>7</v>
      </c>
      <c r="B30" s="16">
        <v>0.125</v>
      </c>
      <c r="C30" s="3">
        <v>0.83333333333333337</v>
      </c>
      <c r="D30" s="3">
        <v>0.95833333333333337</v>
      </c>
      <c r="E30" s="3">
        <v>0.13043478260869565</v>
      </c>
      <c r="F30" s="3">
        <v>0.73913043478260865</v>
      </c>
      <c r="G30" s="3">
        <v>3.5536411360883023E-3</v>
      </c>
      <c r="H30" s="3">
        <v>0.86956521739130432</v>
      </c>
      <c r="I30" s="3">
        <v>0.24724727419571946</v>
      </c>
      <c r="J30" s="3">
        <v>0.97166165736367538</v>
      </c>
      <c r="K30" s="3">
        <v>0.82511923688394284</v>
      </c>
      <c r="L30" s="3">
        <v>0.14654242047973254</v>
      </c>
      <c r="M30" s="17">
        <v>0.14748915514576932</v>
      </c>
    </row>
    <row r="31" spans="1:13" x14ac:dyDescent="0.25">
      <c r="A31" s="1" t="s">
        <v>32</v>
      </c>
      <c r="B31" s="16">
        <v>0.63636363636363635</v>
      </c>
      <c r="C31" s="3">
        <v>1</v>
      </c>
      <c r="D31" s="3">
        <v>1.6363636363636362</v>
      </c>
      <c r="E31" s="3">
        <v>0.3888888888888889</v>
      </c>
      <c r="F31" s="3">
        <v>0.22222222222222221</v>
      </c>
      <c r="G31" s="3">
        <v>1.3819715529232288E-3</v>
      </c>
      <c r="H31" s="3">
        <v>0.61111111111111116</v>
      </c>
      <c r="I31" s="3">
        <v>0.15109555645293968</v>
      </c>
      <c r="J31" s="3">
        <v>0.98187311178247738</v>
      </c>
      <c r="K31" s="3">
        <v>0.97166165736367538</v>
      </c>
      <c r="L31" s="3">
        <v>1.0211454418802002E-2</v>
      </c>
      <c r="M31" s="17">
        <v>1.0277425336010042E-2</v>
      </c>
    </row>
    <row r="32" spans="1:13" x14ac:dyDescent="0.25">
      <c r="A32" s="1" t="s">
        <v>6</v>
      </c>
      <c r="B32" s="16">
        <v>0.33333333333333331</v>
      </c>
      <c r="C32" s="3">
        <v>0.8</v>
      </c>
      <c r="D32" s="3">
        <v>1.1333333333333333</v>
      </c>
      <c r="E32" s="3">
        <v>0.29411764705882354</v>
      </c>
      <c r="F32" s="3">
        <v>0.41176470588235292</v>
      </c>
      <c r="G32" s="3">
        <v>4.0646222144800849E-4</v>
      </c>
      <c r="H32" s="3">
        <v>0.70588235294117641</v>
      </c>
      <c r="I32" s="3">
        <v>0.1066556869079574</v>
      </c>
      <c r="J32" s="3">
        <v>0.99240698557327256</v>
      </c>
      <c r="K32" s="3">
        <v>0.98187311178247738</v>
      </c>
      <c r="L32" s="3">
        <v>1.0533873790795178E-2</v>
      </c>
      <c r="M32" s="17">
        <v>1.0601927692544273E-2</v>
      </c>
    </row>
    <row r="33" spans="1:13" x14ac:dyDescent="0.25">
      <c r="A33" s="1" t="s">
        <v>7</v>
      </c>
      <c r="B33" s="16">
        <v>0.2857142857142857</v>
      </c>
      <c r="C33" s="3">
        <v>0.83333333333333337</v>
      </c>
      <c r="D33" s="3">
        <v>1.1190476190476191</v>
      </c>
      <c r="E33" s="3">
        <v>0.25531914893617019</v>
      </c>
      <c r="F33" s="3">
        <v>0.48936170212765961</v>
      </c>
      <c r="G33" s="3">
        <v>1.0377758845481067E-4</v>
      </c>
      <c r="H33" s="3">
        <v>0.74468085106382986</v>
      </c>
      <c r="I33" s="3">
        <v>7.9424447697415093E-2</v>
      </c>
      <c r="J33" s="3">
        <v>0.99739016963897342</v>
      </c>
      <c r="K33" s="3">
        <v>0.99240698557327256</v>
      </c>
      <c r="L33" s="3">
        <v>4.983184065700863E-3</v>
      </c>
      <c r="M33" s="17">
        <v>5.015377836533887E-3</v>
      </c>
    </row>
    <row r="34" spans="1:13" x14ac:dyDescent="0.25">
      <c r="A34" s="1" t="s">
        <v>9</v>
      </c>
      <c r="B34" s="16">
        <v>1</v>
      </c>
      <c r="C34" s="3">
        <v>1</v>
      </c>
      <c r="D34" s="3">
        <v>2</v>
      </c>
      <c r="E34" s="3">
        <v>0.5</v>
      </c>
      <c r="F34" s="3">
        <v>0</v>
      </c>
      <c r="G34" s="3">
        <v>5.1888794227405335E-5</v>
      </c>
      <c r="H34" s="3">
        <v>0.5</v>
      </c>
      <c r="I34" s="3">
        <v>3.9712223848707547E-2</v>
      </c>
      <c r="J34" s="3">
        <v>0.99739016963897342</v>
      </c>
      <c r="K34" s="3">
        <v>0.99739016963897342</v>
      </c>
      <c r="L34" s="3">
        <v>0</v>
      </c>
      <c r="M34" s="17">
        <v>0</v>
      </c>
    </row>
    <row r="35" spans="1:13" x14ac:dyDescent="0.25">
      <c r="A35" s="1" t="s">
        <v>10</v>
      </c>
      <c r="B35" s="16">
        <v>31.1</v>
      </c>
      <c r="C35" s="3">
        <v>27.7</v>
      </c>
      <c r="D35" s="3">
        <v>58.8</v>
      </c>
      <c r="E35" s="3">
        <v>0.52891156462585043</v>
      </c>
      <c r="F35" s="3">
        <v>-5.7823129251700855E-2</v>
      </c>
      <c r="G35" s="3">
        <v>2.7444583341365752E-5</v>
      </c>
      <c r="H35" s="3">
        <v>0.47108843537414957</v>
      </c>
      <c r="I35" s="3">
        <v>1.8707969398115625E-2</v>
      </c>
      <c r="J35" s="3">
        <v>0.99707029870078889</v>
      </c>
      <c r="K35" s="3">
        <v>0.99739016963897342</v>
      </c>
      <c r="L35" s="3">
        <v>-3.1987093818452994E-4</v>
      </c>
      <c r="M35" s="17">
        <v>-3.2193745861489834E-4</v>
      </c>
    </row>
    <row r="36" spans="1:13" x14ac:dyDescent="0.25">
      <c r="A36" s="1" t="s">
        <v>34</v>
      </c>
      <c r="B36" s="16" t="s">
        <v>11</v>
      </c>
      <c r="C36" s="3" t="s">
        <v>11</v>
      </c>
      <c r="D36" s="3" t="s">
        <v>11</v>
      </c>
      <c r="E36" s="3" t="s">
        <v>11</v>
      </c>
      <c r="F36" s="3" t="s">
        <v>11</v>
      </c>
      <c r="G36" s="3" t="s">
        <v>11</v>
      </c>
      <c r="H36" s="3" t="s">
        <v>11</v>
      </c>
      <c r="I36" s="3" t="s">
        <v>11</v>
      </c>
      <c r="J36" s="3" t="s">
        <v>11</v>
      </c>
      <c r="K36" s="3" t="s">
        <v>11</v>
      </c>
      <c r="L36" s="3" t="s">
        <v>11</v>
      </c>
      <c r="M36" s="17" t="s">
        <v>11</v>
      </c>
    </row>
    <row r="37" spans="1:13" x14ac:dyDescent="0.25">
      <c r="A37" s="1" t="s">
        <v>12</v>
      </c>
      <c r="B37" s="16">
        <v>1</v>
      </c>
      <c r="C37" s="3">
        <v>0.94117647058823528</v>
      </c>
      <c r="D37" s="3">
        <v>1.9411764705882353</v>
      </c>
      <c r="E37" s="3">
        <v>0.51515151515151514</v>
      </c>
      <c r="F37" s="3">
        <v>-3.0303030303030276E-2</v>
      </c>
      <c r="G37" s="3">
        <v>1.4138118691006599E-5</v>
      </c>
      <c r="H37" s="3">
        <v>0.48484848484848486</v>
      </c>
      <c r="I37" s="3">
        <v>9.070530617268183E-3</v>
      </c>
      <c r="J37" s="3">
        <v>0.99688747733089167</v>
      </c>
      <c r="K37" s="3">
        <v>0.99707029870078889</v>
      </c>
      <c r="L37" s="3">
        <v>-1.8282136989722364E-4</v>
      </c>
      <c r="M37" s="17">
        <v>-1.8400248406203284E-4</v>
      </c>
    </row>
    <row r="38" spans="1:13" x14ac:dyDescent="0.25">
      <c r="A38" s="1" t="s">
        <v>3</v>
      </c>
      <c r="B38" s="29">
        <v>220.7</v>
      </c>
      <c r="C38" s="8">
        <v>285.7</v>
      </c>
      <c r="D38" s="3">
        <v>506.4</v>
      </c>
      <c r="E38" s="3">
        <v>0.4358214849921011</v>
      </c>
      <c r="F38" s="3">
        <v>0.12835703001579779</v>
      </c>
      <c r="G38" s="3">
        <v>6.1616958829090763E-6</v>
      </c>
      <c r="H38" s="3">
        <v>0.56417851500789884</v>
      </c>
      <c r="I38" s="3">
        <v>5.1173984939840433E-3</v>
      </c>
      <c r="J38" s="3">
        <v>0.9975947600283509</v>
      </c>
      <c r="K38" s="3">
        <v>0.99688747733089167</v>
      </c>
      <c r="L38" s="3">
        <v>7.0728269745923278E-4</v>
      </c>
      <c r="M38" s="17">
        <v>7.1185208457717839E-4</v>
      </c>
    </row>
    <row r="39" spans="1:13" x14ac:dyDescent="0.25">
      <c r="A39" s="1" t="s">
        <v>4</v>
      </c>
      <c r="B39" s="16" t="s">
        <v>11</v>
      </c>
      <c r="C39" s="3" t="s">
        <v>11</v>
      </c>
      <c r="D39" s="3" t="s">
        <v>11</v>
      </c>
      <c r="E39" s="3" t="s">
        <v>11</v>
      </c>
      <c r="F39" s="3" t="s">
        <v>11</v>
      </c>
      <c r="G39" s="3" t="s">
        <v>11</v>
      </c>
      <c r="H39" s="3" t="s">
        <v>11</v>
      </c>
      <c r="I39" s="3" t="s">
        <v>11</v>
      </c>
      <c r="J39" s="3" t="s">
        <v>11</v>
      </c>
      <c r="K39" s="3" t="s">
        <v>11</v>
      </c>
      <c r="L39" s="3" t="s">
        <v>11</v>
      </c>
      <c r="M39" s="17" t="s">
        <v>11</v>
      </c>
    </row>
    <row r="40" spans="1:13" x14ac:dyDescent="0.25">
      <c r="A40" s="7" t="s">
        <v>13</v>
      </c>
      <c r="B40" s="16">
        <v>0.98699999999999999</v>
      </c>
      <c r="C40" s="3">
        <v>0.93400000000000005</v>
      </c>
      <c r="D40" s="3">
        <v>1.921</v>
      </c>
      <c r="E40" s="3">
        <v>0.51379489849036963</v>
      </c>
      <c r="F40" s="3">
        <v>-2.7589796980739267E-2</v>
      </c>
      <c r="G40" s="3">
        <v>3.1658479106877973E-6</v>
      </c>
      <c r="H40" s="3">
        <v>0.48620510150963037</v>
      </c>
      <c r="I40" s="3">
        <v>2.4881052542327412E-3</v>
      </c>
      <c r="J40" s="3">
        <v>0.99745844769124969</v>
      </c>
      <c r="K40" s="3">
        <v>0.9975947600283509</v>
      </c>
      <c r="L40" s="3">
        <v>-1.363123371012076E-4</v>
      </c>
      <c r="M40" s="17">
        <v>-1.3719298049797785E-4</v>
      </c>
    </row>
    <row r="41" spans="1:13" x14ac:dyDescent="0.25">
      <c r="A41" s="7" t="s">
        <v>14</v>
      </c>
      <c r="B41" s="29">
        <v>20</v>
      </c>
      <c r="C41" s="8">
        <v>15.4</v>
      </c>
      <c r="D41" s="3">
        <v>35.4</v>
      </c>
      <c r="E41" s="3">
        <v>0.56497175141242939</v>
      </c>
      <c r="F41" s="3">
        <v>-0.12994350282485878</v>
      </c>
      <c r="G41" s="3">
        <v>1.7886146388066651E-6</v>
      </c>
      <c r="H41" s="3">
        <v>0.43502824858757061</v>
      </c>
      <c r="I41" s="3">
        <v>1.0823960710504015E-3</v>
      </c>
      <c r="J41" s="3">
        <v>0.99670053513499013</v>
      </c>
      <c r="K41" s="3">
        <v>0.99745844769124969</v>
      </c>
      <c r="L41" s="3">
        <v>-7.5791255625956566E-4</v>
      </c>
      <c r="M41" s="17">
        <v>-7.6280903666767197E-4</v>
      </c>
    </row>
    <row r="42" spans="1:13" x14ac:dyDescent="0.25">
      <c r="A42" s="7" t="s">
        <v>15</v>
      </c>
      <c r="B42" s="29">
        <v>229.5</v>
      </c>
      <c r="C42" s="8">
        <v>211</v>
      </c>
      <c r="D42" s="3">
        <v>440.5</v>
      </c>
      <c r="E42" s="3">
        <v>0.52099886492622016</v>
      </c>
      <c r="F42" s="3">
        <v>-4.1997729852440324E-2</v>
      </c>
      <c r="G42" s="3">
        <v>9.3186619660869377E-7</v>
      </c>
      <c r="H42" s="3">
        <v>0.47900113507377984</v>
      </c>
      <c r="I42" s="3">
        <v>5.18468946632542E-4</v>
      </c>
      <c r="J42" s="3">
        <v>0.99641176458106462</v>
      </c>
      <c r="K42" s="3">
        <v>0.99670053513499013</v>
      </c>
      <c r="L42" s="3">
        <v>-2.8877055392551032E-4</v>
      </c>
      <c r="M42" s="17">
        <v>-2.9063615088396742E-4</v>
      </c>
    </row>
    <row r="43" spans="1:13" x14ac:dyDescent="0.25">
      <c r="A43" s="7" t="s">
        <v>16</v>
      </c>
      <c r="B43" s="16">
        <v>5.96E-2</v>
      </c>
      <c r="C43" s="3">
        <v>3.4599999999999999E-2</v>
      </c>
      <c r="D43" s="3">
        <v>9.4200000000000006E-2</v>
      </c>
      <c r="E43" s="3">
        <v>0.63269639065817407</v>
      </c>
      <c r="F43" s="3">
        <v>-0.26539278131634814</v>
      </c>
      <c r="G43" s="3">
        <v>5.8958837917068097E-7</v>
      </c>
      <c r="H43" s="3">
        <v>0.36730360934182593</v>
      </c>
      <c r="I43" s="3">
        <v>1.9043551542978721E-4</v>
      </c>
      <c r="J43" s="3">
        <v>0.99382711101928967</v>
      </c>
      <c r="K43" s="3">
        <v>0.99641176458106462</v>
      </c>
      <c r="L43" s="3">
        <v>-2.5846535617749522E-3</v>
      </c>
      <c r="M43" s="17">
        <v>-2.6013516695216183E-3</v>
      </c>
    </row>
    <row r="44" spans="1:13" x14ac:dyDescent="0.25">
      <c r="A44" s="7" t="s">
        <v>17</v>
      </c>
      <c r="B44" s="16">
        <v>0.52</v>
      </c>
      <c r="C44" s="3">
        <v>0.5</v>
      </c>
      <c r="D44" s="3">
        <v>1.02</v>
      </c>
      <c r="E44" s="3">
        <v>0.50980392156862742</v>
      </c>
      <c r="F44" s="3">
        <v>-1.9607843137254832E-2</v>
      </c>
      <c r="G44" s="3">
        <v>3.0057446781250402E-7</v>
      </c>
      <c r="H44" s="3">
        <v>0.49019607843137258</v>
      </c>
      <c r="I44" s="3">
        <v>9.3350742857738829E-5</v>
      </c>
      <c r="J44" s="3">
        <v>0.99358098793703786</v>
      </c>
      <c r="K44" s="3">
        <v>0.99382711101928967</v>
      </c>
      <c r="L44" s="3">
        <v>-2.4612308225180346E-4</v>
      </c>
      <c r="M44" s="17">
        <v>-2.4771315598824645E-4</v>
      </c>
    </row>
    <row r="45" spans="1:13" x14ac:dyDescent="0.25">
      <c r="B45" s="30"/>
      <c r="C45" s="2"/>
      <c r="D45" s="1"/>
      <c r="E45" s="1"/>
      <c r="F45" s="1"/>
      <c r="G45" s="1"/>
      <c r="H45" s="1"/>
      <c r="I45" s="1"/>
      <c r="J45" s="1"/>
      <c r="K45" s="1"/>
      <c r="L45" s="1"/>
      <c r="M45" s="20"/>
    </row>
    <row r="46" spans="1:13" x14ac:dyDescent="0.25">
      <c r="B46" s="31"/>
      <c r="C46" s="5"/>
      <c r="D46" s="5" t="s">
        <v>25</v>
      </c>
      <c r="E46" s="6">
        <v>3.0057446781250402E-7</v>
      </c>
      <c r="F46" s="1"/>
      <c r="G46" s="6"/>
      <c r="H46" s="6">
        <v>9.3350742857738829E-5</v>
      </c>
      <c r="I46" s="1"/>
      <c r="J46" s="1"/>
      <c r="K46" s="1"/>
      <c r="L46" s="1"/>
      <c r="M46" s="38"/>
    </row>
    <row r="47" spans="1:13" x14ac:dyDescent="0.25">
      <c r="B47" s="32"/>
      <c r="C47" s="24"/>
      <c r="D47" s="24" t="s">
        <v>26</v>
      </c>
      <c r="E47" s="24">
        <v>0.99358098793703786</v>
      </c>
      <c r="F47" s="23"/>
      <c r="G47" s="24"/>
      <c r="H47" s="24"/>
      <c r="I47" s="23"/>
      <c r="J47" s="23"/>
      <c r="K47" s="23"/>
      <c r="L47" s="23"/>
      <c r="M47" s="3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39" sqref="C39"/>
    </sheetView>
  </sheetViews>
  <sheetFormatPr defaultColWidth="11" defaultRowHeight="15.75" x14ac:dyDescent="0.25"/>
  <cols>
    <col min="2" max="2" width="19.375" customWidth="1"/>
  </cols>
  <sheetData>
    <row r="1" spans="1:4" x14ac:dyDescent="0.25">
      <c r="A1" s="24"/>
      <c r="B1" s="24" t="s">
        <v>0</v>
      </c>
      <c r="C1" s="24" t="s">
        <v>36</v>
      </c>
      <c r="D1" s="24" t="s">
        <v>37</v>
      </c>
    </row>
    <row r="2" spans="1:4" x14ac:dyDescent="0.25">
      <c r="A2" s="1" t="s">
        <v>1</v>
      </c>
      <c r="B2" s="1" t="s">
        <v>2</v>
      </c>
      <c r="C2" s="3">
        <v>0</v>
      </c>
      <c r="D2" s="3">
        <v>0</v>
      </c>
    </row>
    <row r="3" spans="1:4" x14ac:dyDescent="0.25">
      <c r="A3" s="1"/>
      <c r="B3" s="1" t="s">
        <v>32</v>
      </c>
      <c r="C3" s="3">
        <v>0.13820283762480301</v>
      </c>
      <c r="D3" s="3">
        <v>0.57692307692307687</v>
      </c>
    </row>
    <row r="4" spans="1:4" x14ac:dyDescent="0.25">
      <c r="A4" s="1"/>
      <c r="B4" s="1" t="s">
        <v>6</v>
      </c>
      <c r="C4" s="3">
        <v>0.57057686110215911</v>
      </c>
      <c r="D4" s="3">
        <v>0.82511923688394284</v>
      </c>
    </row>
    <row r="5" spans="1:4" x14ac:dyDescent="0.25">
      <c r="A5" s="1"/>
      <c r="B5" s="7" t="s">
        <v>7</v>
      </c>
      <c r="C5" s="3">
        <v>0.8394022025701674</v>
      </c>
      <c r="D5" s="3">
        <v>0.97166165736367538</v>
      </c>
    </row>
    <row r="6" spans="1:4" x14ac:dyDescent="0.25">
      <c r="A6" s="1" t="s">
        <v>8</v>
      </c>
      <c r="B6" s="1" t="s">
        <v>32</v>
      </c>
      <c r="C6" s="3">
        <v>0.85395344663358241</v>
      </c>
      <c r="D6" s="3">
        <v>0.98187311178247738</v>
      </c>
    </row>
    <row r="7" spans="1:4" x14ac:dyDescent="0.25">
      <c r="A7" s="7"/>
      <c r="B7" s="1" t="s">
        <v>6</v>
      </c>
      <c r="C7" s="3">
        <v>0.9181520821488971</v>
      </c>
      <c r="D7" s="3">
        <v>0.99240698557327256</v>
      </c>
    </row>
    <row r="8" spans="1:4" x14ac:dyDescent="0.25">
      <c r="A8" s="1"/>
      <c r="B8" s="1" t="s">
        <v>7</v>
      </c>
      <c r="C8" s="3">
        <v>0.98110414360305453</v>
      </c>
      <c r="D8" s="3">
        <v>0.99739016963897342</v>
      </c>
    </row>
    <row r="9" spans="1:4" x14ac:dyDescent="0.25">
      <c r="A9" s="1"/>
      <c r="B9" s="1" t="s">
        <v>9</v>
      </c>
      <c r="C9" s="3">
        <v>0.98110414360305453</v>
      </c>
      <c r="D9" s="3">
        <v>0.99739016963897342</v>
      </c>
    </row>
    <row r="10" spans="1:4" x14ac:dyDescent="0.25">
      <c r="A10" s="1"/>
      <c r="B10" s="1" t="s">
        <v>10</v>
      </c>
      <c r="C10" s="3">
        <v>0.97922478946240343</v>
      </c>
      <c r="D10" s="3">
        <v>0.99707029870078889</v>
      </c>
    </row>
    <row r="11" spans="1:4" x14ac:dyDescent="0.25">
      <c r="A11" s="1"/>
      <c r="B11" s="1" t="s">
        <v>34</v>
      </c>
      <c r="C11" s="3">
        <v>0.99043570041796625</v>
      </c>
      <c r="D11" s="3" t="s">
        <v>11</v>
      </c>
    </row>
    <row r="12" spans="1:4" x14ac:dyDescent="0.25">
      <c r="A12" s="1"/>
      <c r="B12" s="1" t="s">
        <v>12</v>
      </c>
      <c r="C12" s="3">
        <v>0.99219008074170634</v>
      </c>
      <c r="D12" s="3">
        <v>0.99688747733089167</v>
      </c>
    </row>
    <row r="13" spans="1:4" x14ac:dyDescent="0.25">
      <c r="A13" s="1"/>
      <c r="B13" s="1" t="s">
        <v>3</v>
      </c>
      <c r="C13" s="3">
        <v>0.99357359834528025</v>
      </c>
      <c r="D13" s="3">
        <v>0.9975947600283509</v>
      </c>
    </row>
    <row r="14" spans="1:4" x14ac:dyDescent="0.25">
      <c r="A14" s="1"/>
      <c r="B14" s="1" t="s">
        <v>4</v>
      </c>
      <c r="C14" s="3">
        <v>0.99378714629554876</v>
      </c>
      <c r="D14" s="3" t="s">
        <v>11</v>
      </c>
    </row>
    <row r="15" spans="1:4" x14ac:dyDescent="0.25">
      <c r="A15" s="1"/>
      <c r="B15" s="7" t="s">
        <v>13</v>
      </c>
      <c r="C15" s="3">
        <v>0.99339345284081992</v>
      </c>
      <c r="D15" s="3">
        <v>0.99745844769124969</v>
      </c>
    </row>
    <row r="16" spans="1:4" x14ac:dyDescent="0.25">
      <c r="A16" s="1"/>
      <c r="B16" s="7" t="s">
        <v>14</v>
      </c>
      <c r="C16" s="3">
        <v>0.99311027914076422</v>
      </c>
      <c r="D16" s="3">
        <v>0.99670053513499013</v>
      </c>
    </row>
    <row r="17" spans="1:4" x14ac:dyDescent="0.25">
      <c r="A17" s="1"/>
      <c r="B17" s="7" t="s">
        <v>15</v>
      </c>
      <c r="C17" s="3">
        <v>0.99413854505475985</v>
      </c>
      <c r="D17" s="3">
        <v>0.99641176458106462</v>
      </c>
    </row>
    <row r="18" spans="1:4" x14ac:dyDescent="0.25">
      <c r="A18" s="1"/>
      <c r="B18" s="7" t="s">
        <v>16</v>
      </c>
      <c r="C18" s="3">
        <v>0.99383967623511416</v>
      </c>
      <c r="D18" s="3">
        <v>0.99382711101928967</v>
      </c>
    </row>
    <row r="19" spans="1:4" x14ac:dyDescent="0.25">
      <c r="A19" s="1"/>
      <c r="B19" s="7" t="s">
        <v>17</v>
      </c>
      <c r="C19" s="3">
        <v>0.99371926490013296</v>
      </c>
      <c r="D19" s="3">
        <v>0.99358098793703786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Formulas</vt:lpstr>
      <vt:lpstr>Values</vt:lpstr>
      <vt:lpstr>Fig6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Masly Lab</dc:creator>
  <cp:lastModifiedBy>alexbarnard</cp:lastModifiedBy>
  <dcterms:created xsi:type="dcterms:W3CDTF">2016-10-04T18:08:33Z</dcterms:created>
  <dcterms:modified xsi:type="dcterms:W3CDTF">2017-07-18T19:00:00Z</dcterms:modified>
</cp:coreProperties>
</file>