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Nectar" sheetId="1" r:id="rId3"/>
    <sheet state="visible" name="Tally" sheetId="2" r:id="rId4"/>
    <sheet state="visible" name="Flower" sheetId="3" r:id="rId5"/>
    <sheet state="visible" name="Fl_Leu_Au" sheetId="4" r:id="rId6"/>
  </sheets>
  <definedNames/>
  <calcPr/>
</workbook>
</file>

<file path=xl/sharedStrings.xml><?xml version="1.0" encoding="utf-8"?>
<sst xmlns="http://schemas.openxmlformats.org/spreadsheetml/2006/main" count="843" uniqueCount="247">
  <si>
    <t>Ind</t>
  </si>
  <si>
    <t># Ph</t>
  </si>
  <si>
    <t># Cap</t>
  </si>
  <si>
    <t># J</t>
  </si>
  <si>
    <t># Po</t>
  </si>
  <si>
    <t>Nectar</t>
  </si>
  <si>
    <t>Flower</t>
  </si>
  <si>
    <t>Pollen</t>
  </si>
  <si>
    <t>Date</t>
  </si>
  <si>
    <t>#</t>
  </si>
  <si>
    <t>Time</t>
  </si>
  <si>
    <t>Individual</t>
  </si>
  <si>
    <t>Infl. # pos</t>
  </si>
  <si>
    <t>Sepal Length</t>
  </si>
  <si>
    <t>Cor. Length</t>
  </si>
  <si>
    <t>Style Length</t>
  </si>
  <si>
    <t>Nectar (UNC)</t>
  </si>
  <si>
    <t>Sugar (UND)</t>
  </si>
  <si>
    <t>Sugar (D+2.5)</t>
  </si>
  <si>
    <t>Notes</t>
  </si>
  <si>
    <t>Collect 10:10am to 10:20am</t>
  </si>
  <si>
    <t>Throat</t>
  </si>
  <si>
    <t>Ring</t>
  </si>
  <si>
    <t>Corolla</t>
  </si>
  <si>
    <t>Color pattern</t>
  </si>
  <si>
    <t>Anther color</t>
  </si>
  <si>
    <t>flowers/day</t>
  </si>
  <si>
    <t>Flowers/buds on peduncle</t>
  </si>
  <si>
    <t>Cymes on node</t>
  </si>
  <si>
    <t>Peduncle length node to flower</t>
  </si>
  <si>
    <t>pedicel flower only</t>
  </si>
  <si>
    <t>Cor Length variant</t>
  </si>
  <si>
    <t>Cor. Width</t>
  </si>
  <si>
    <t>Anther/stigma position</t>
  </si>
  <si>
    <t>MaxAnther-stigma distance top to top, -=stigma below</t>
  </si>
  <si>
    <t>MINAnther-stigma distance top to top, -=stigma below</t>
  </si>
  <si>
    <t>Anthers below</t>
  </si>
  <si>
    <t>Anther above</t>
  </si>
  <si>
    <t>Anther touching</t>
  </si>
  <si>
    <t>Pistil Length</t>
  </si>
  <si>
    <t>Leaf Length</t>
  </si>
  <si>
    <t>Leaf width</t>
  </si>
  <si>
    <t>Leaf dissection</t>
  </si>
  <si>
    <t>Stigma height</t>
  </si>
  <si>
    <t>D</t>
  </si>
  <si>
    <t>VL</t>
  </si>
  <si>
    <t>L</t>
  </si>
  <si>
    <t>BANDED</t>
  </si>
  <si>
    <t>W</t>
  </si>
  <si>
    <t>O4</t>
  </si>
  <si>
    <t>VL/W</t>
  </si>
  <si>
    <t>Banded</t>
  </si>
  <si>
    <t>W VL</t>
  </si>
  <si>
    <t>.75?</t>
  </si>
  <si>
    <t>Bandd</t>
  </si>
  <si>
    <t>0.75?</t>
  </si>
  <si>
    <t>7/152017</t>
  </si>
  <si>
    <t>D/L</t>
  </si>
  <si>
    <t>Bande</t>
  </si>
  <si>
    <t>8.26?</t>
  </si>
  <si>
    <t>Collect 9:10am to 9:20 am</t>
  </si>
  <si>
    <t>.5 .75</t>
  </si>
  <si>
    <t>d</t>
  </si>
  <si>
    <t>Bended</t>
  </si>
  <si>
    <t>8.95?</t>
  </si>
  <si>
    <t>21.5?</t>
  </si>
  <si>
    <t>0 0.25 .5</t>
  </si>
  <si>
    <t>W vl</t>
  </si>
  <si>
    <t xml:space="preserve">D </t>
  </si>
  <si>
    <t>w</t>
  </si>
  <si>
    <t>d /l</t>
  </si>
  <si>
    <t>banded</t>
  </si>
  <si>
    <t>vl</t>
  </si>
  <si>
    <t>Collect 10:54 am  to 11:00 am</t>
  </si>
  <si>
    <t>5.38?</t>
  </si>
  <si>
    <t>0 0.25</t>
  </si>
  <si>
    <t>Vl</t>
  </si>
  <si>
    <t>P</t>
  </si>
  <si>
    <t>None</t>
  </si>
  <si>
    <t>Pink</t>
  </si>
  <si>
    <t>p</t>
  </si>
  <si>
    <t>in between</t>
  </si>
  <si>
    <t>In betweb</t>
  </si>
  <si>
    <t>collect 11:25 am</t>
  </si>
  <si>
    <t xml:space="preserve"> d</t>
  </si>
  <si>
    <t>Collect 11:39 am</t>
  </si>
  <si>
    <t>bande</t>
  </si>
  <si>
    <t>o2</t>
  </si>
  <si>
    <t>vlp</t>
  </si>
  <si>
    <t>Collect 8:50am - 8:58am</t>
  </si>
  <si>
    <t>Cutting</t>
  </si>
  <si>
    <t>cutting</t>
  </si>
  <si>
    <t xml:space="preserve">cutting </t>
  </si>
  <si>
    <t>Cordatotriloba</t>
  </si>
  <si>
    <t>damaged nectary</t>
  </si>
  <si>
    <t>Some banding</t>
  </si>
  <si>
    <t>Pp</t>
  </si>
  <si>
    <t>No</t>
  </si>
  <si>
    <t>pp</t>
  </si>
  <si>
    <t>Collect 10:46am - 10:49am</t>
  </si>
  <si>
    <t>Measurement date</t>
  </si>
  <si>
    <t>nectary not developed? pale?</t>
  </si>
  <si>
    <t>Lacunosa</t>
  </si>
  <si>
    <t>Collect 8:49am - 8:57am</t>
  </si>
  <si>
    <t>Individual identifier</t>
  </si>
  <si>
    <t>Collect 9:47am - 9:56am</t>
  </si>
  <si>
    <t>damaged nectary, thrips</t>
  </si>
  <si>
    <t>Throat color (use Austin Cordatotrilobaas a guide to see clear divisions of throat / ring / corolla)</t>
  </si>
  <si>
    <t>Collect 10:56am - 10:59am</t>
  </si>
  <si>
    <t>Collect 11:22am - 11:26am</t>
  </si>
  <si>
    <t>Ring color (use Austin Cordatotrilobaas a guide to see clear divisions of throat / ring / corolla)</t>
  </si>
  <si>
    <t>l</t>
  </si>
  <si>
    <t>damaged nectary, thrips?</t>
  </si>
  <si>
    <t>Collect 9:50 am</t>
  </si>
  <si>
    <t>1.92 - +</t>
  </si>
  <si>
    <t>Corolla color (use Austin Cordatotrilobaas a guide to see clear divisions of throat / ring / corolla)</t>
  </si>
  <si>
    <t>Collect 8:40am to 8:49am</t>
  </si>
  <si>
    <t>no</t>
  </si>
  <si>
    <t>Ll</t>
  </si>
  <si>
    <t>Collect 10:00am to 10:08am</t>
  </si>
  <si>
    <t>Solid or banded. Austin Cordatotrilobais a clear example of banded.</t>
  </si>
  <si>
    <t>band</t>
  </si>
  <si>
    <t>–1.77</t>
  </si>
  <si>
    <t>Band</t>
  </si>
  <si>
    <t>1+</t>
  </si>
  <si>
    <t>b</t>
  </si>
  <si>
    <t>B</t>
  </si>
  <si>
    <t>Sringails</t>
  </si>
  <si>
    <t>Purple (much more common) or white.</t>
  </si>
  <si>
    <t>n</t>
  </si>
  <si>
    <t>108, might be evaporated...</t>
  </si>
  <si>
    <t>Total number of open flowers that day. Lacunosaflowers are probably hiding - double-check the counts on them.</t>
  </si>
  <si>
    <t xml:space="preserve"> 8:39 - 8:46</t>
  </si>
  <si>
    <t>3+ (2+)</t>
  </si>
  <si>
    <t>Sterile</t>
  </si>
  <si>
    <t xml:space="preserve">P </t>
  </si>
  <si>
    <t>N</t>
  </si>
  <si>
    <t>How many flowers or buds there are on the inflorescence as a whole. Check for tiny buds under the little sepaly things.</t>
  </si>
  <si>
    <t>NA, don't use this one.</t>
  </si>
  <si>
    <t>check volume = 32</t>
  </si>
  <si>
    <t>The distance from the vine to the base of the flower.</t>
  </si>
  <si>
    <t>The distance from the nearest junction or sepal on the inflorescence to the base of the flower.</t>
  </si>
  <si>
    <t>The height of the corolla from the base of the ovary to the flat top of the corolla.</t>
  </si>
  <si>
    <t>Corolla tissue length. The length of the corolla when you stretch it out with the calipers, closing the flower until it pops back open.</t>
  </si>
  <si>
    <t>The width from one point to the opposite flat side across the corolla.</t>
  </si>
  <si>
    <t>1 = stigma entirely above all anthers. 0 = stigma touching 2+ anthers. -1 = stigma entirely below all anthers. +/- 0.5 = stigma touching one anther, above/below all others.</t>
  </si>
  <si>
    <t>The measurement from the top of the most distant anther to the top of the stigma. + if stigma above anther, - if below.</t>
  </si>
  <si>
    <t>The measurement from the top of the closest anther to the top of the stigma. + if stigma above anther, - if below. Often 0.</t>
  </si>
  <si>
    <t>Collect 8:55am - 9:04am</t>
  </si>
  <si>
    <t>How many anthers are below the stigma, not touching it at all.</t>
  </si>
  <si>
    <t>Collect 9:44am - 9:49am</t>
  </si>
  <si>
    <t>How many anthers are above the stigma, not touching it at all.</t>
  </si>
  <si>
    <t>How many anthers are touching the stigma.</t>
  </si>
  <si>
    <t>Collect 10:45am - 10:49am</t>
  </si>
  <si>
    <t>Stigma Length</t>
  </si>
  <si>
    <t>This should read "style plus ovary length." Measured from the base of the ovary to the top of the stigma, in a dissected flower.</t>
  </si>
  <si>
    <t>(need to remeasure)</t>
  </si>
  <si>
    <t>Leaf length, from where the pedicel joins the leaf to the tip of the leaf.</t>
  </si>
  <si>
    <t>Buds</t>
  </si>
  <si>
    <t>Leaf width, across the two widest points.</t>
  </si>
  <si>
    <t>0 = all leaves entire. 0.25 = most leaves entire, some leaves dissected. 0.5 = about an even mix of entire and dissected leaves. 0.75 = most leaves dissected, some leaves entire. 1 = all leaves dissected</t>
  </si>
  <si>
    <t>Collect 11:36am - 11:40am</t>
  </si>
  <si>
    <t>collct 9:43-9:46</t>
  </si>
  <si>
    <t>collect 10:13 to 10:17</t>
  </si>
  <si>
    <t>buds</t>
  </si>
  <si>
    <t>collect 10:53 to 10:58</t>
  </si>
  <si>
    <t>anther sterile, thrips</t>
  </si>
  <si>
    <t>11:11 - 11:14</t>
  </si>
  <si>
    <t>damage netary</t>
  </si>
  <si>
    <t>10:51-10:56</t>
  </si>
  <si>
    <t>10:45-10:47</t>
  </si>
  <si>
    <t xml:space="preserve"> 9:07-9:11</t>
  </si>
  <si>
    <t>10:13-10:17</t>
  </si>
  <si>
    <t>9:02-9:06</t>
  </si>
  <si>
    <t>.</t>
  </si>
  <si>
    <t>9:55-9:57</t>
  </si>
  <si>
    <t>Broken nectary</t>
  </si>
  <si>
    <t xml:space="preserve"> </t>
  </si>
  <si>
    <t>9:00 - 9:02</t>
  </si>
  <si>
    <t>8:50-8:52</t>
  </si>
  <si>
    <t>10:34-10:36</t>
  </si>
  <si>
    <t xml:space="preserve">  </t>
  </si>
  <si>
    <t>10:09-10:12</t>
  </si>
  <si>
    <t>10:00-10:03</t>
  </si>
  <si>
    <t>9:44-9:47</t>
  </si>
  <si>
    <t>10:10-10:12</t>
  </si>
  <si>
    <t>9:57-10:00</t>
  </si>
  <si>
    <t xml:space="preserve">        </t>
  </si>
  <si>
    <t>9:55-9:58</t>
  </si>
  <si>
    <t>9:46-9:50</t>
  </si>
  <si>
    <t>buds?</t>
  </si>
  <si>
    <t>9:39-9:41</t>
  </si>
  <si>
    <t>leak??</t>
  </si>
  <si>
    <t>10:06-10:08</t>
  </si>
  <si>
    <t>not sure if good</t>
  </si>
  <si>
    <t>9:45-9:47</t>
  </si>
  <si>
    <t>? dilute</t>
  </si>
  <si>
    <t>9:38-9:39</t>
  </si>
  <si>
    <t>leak, might notbe valid</t>
  </si>
  <si>
    <t>9:43-9:44</t>
  </si>
  <si>
    <t>8:33-8:35</t>
  </si>
  <si>
    <t>10:12-10:14</t>
  </si>
  <si>
    <t>O3</t>
  </si>
  <si>
    <t>leak; cut rught at junction</t>
  </si>
  <si>
    <t>O3ri</t>
  </si>
  <si>
    <t>O2</t>
  </si>
  <si>
    <t>48_GA</t>
  </si>
  <si>
    <t>10:35-10:36</t>
  </si>
  <si>
    <t>9:57-9:58</t>
  </si>
  <si>
    <t>Austinii</t>
  </si>
  <si>
    <t>9:36-9:37</t>
  </si>
  <si>
    <t>Leucantha</t>
  </si>
  <si>
    <t>tri stigma</t>
  </si>
  <si>
    <t>10:15-10:16</t>
  </si>
  <si>
    <t>50+</t>
  </si>
  <si>
    <t>efn</t>
  </si>
  <si>
    <t>9:56-9:58</t>
  </si>
  <si>
    <t>10:03-10:06</t>
  </si>
  <si>
    <t>10+</t>
  </si>
  <si>
    <t>10:01-10:03</t>
  </si>
  <si>
    <t>10:17-10:19</t>
  </si>
  <si>
    <t>9:58-10:01</t>
  </si>
  <si>
    <t>collapse, closing</t>
  </si>
  <si>
    <t>10:00-10:01</t>
  </si>
  <si>
    <t>closed</t>
  </si>
  <si>
    <t>10:12?</t>
  </si>
  <si>
    <t>9:38-9:40</t>
  </si>
  <si>
    <t>10:15-10:18</t>
  </si>
  <si>
    <t>9:51; evaporate?</t>
  </si>
  <si>
    <t>dil off</t>
  </si>
  <si>
    <t>10:36-10:37</t>
  </si>
  <si>
    <t>10:02,  cutting</t>
  </si>
  <si>
    <t>10:48:00 AM, cutting</t>
  </si>
  <si>
    <t>10:45, cuttin</t>
  </si>
  <si>
    <t>Leak?</t>
  </si>
  <si>
    <t>10:17, cutting</t>
  </si>
  <si>
    <t>leak</t>
  </si>
  <si>
    <t xml:space="preserve">11:05, cutting </t>
  </si>
  <si>
    <t>11:27, cutting</t>
  </si>
  <si>
    <t>10:57 cutting</t>
  </si>
  <si>
    <t>original</t>
  </si>
  <si>
    <t>ori, cutting, 9:55</t>
  </si>
  <si>
    <t>miswrote dates on tubes</t>
  </si>
  <si>
    <t>o3ri</t>
  </si>
  <si>
    <t>ocean3</t>
  </si>
  <si>
    <t>11:22-11:25</t>
  </si>
  <si>
    <t>11:50-11:51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</si>
</sst>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-mmm"/>
    <numFmt numFmtId="165" formatCode="m/d/yyyy"/>
    <numFmt numFmtId="166" formatCode="mm/dd/yyyy"/>
    <numFmt numFmtId="167" formatCode="m/d/yy"/>
  </numFmts>
  <fonts count="7">
    <font>
      <sz val="10.0"/>
      <color rgb="FF000000"/>
      <name val="Arial"/>
    </font>
    <font>
      <sz val="10.0"/>
      <name val="Arial"/>
    </font>
    <font>
      <b/>
      <sz val="10.0"/>
      <name val="Arial"/>
    </font>
    <font>
      <b/>
    </font>
    <font>
      <name val="Arial"/>
    </font>
    <font/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D5A6BD"/>
        <bgColor rgb="FFD5A6BD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0" numFmtId="0" xfId="0" applyAlignment="1" applyFill="1" applyFont="1">
      <alignment readingOrder="0"/>
    </xf>
    <xf borderId="0" fillId="0" fontId="1" numFmtId="0" xfId="0" applyFont="1"/>
    <xf borderId="0" fillId="0" fontId="0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0" fontId="5" numFmtId="0" xfId="0" applyAlignment="1" applyFont="1">
      <alignment readingOrder="0"/>
    </xf>
    <xf borderId="0" fillId="0" fontId="5" numFmtId="20" xfId="0" applyAlignment="1" applyFont="1" applyNumberFormat="1">
      <alignment readingOrder="0"/>
    </xf>
    <xf borderId="0" fillId="0" fontId="6" numFmtId="0" xfId="0" applyAlignment="1" applyFont="1">
      <alignment readingOrder="0" shrinkToFit="0" vertical="bottom" wrapText="0"/>
    </xf>
    <xf borderId="0" fillId="0" fontId="6" numFmtId="164" xfId="0" applyAlignment="1" applyFont="1" applyNumberFormat="1">
      <alignment horizontal="right"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5" numFmtId="165" xfId="0" applyAlignment="1" applyFont="1" applyNumberFormat="1">
      <alignment readingOrder="0"/>
    </xf>
    <xf borderId="0" fillId="0" fontId="5" numFmtId="166" xfId="0" applyAlignment="1" applyFont="1" applyNumberFormat="1">
      <alignment readingOrder="0"/>
    </xf>
    <xf borderId="0" fillId="2" fontId="0" numFmtId="0" xfId="0" applyFont="1"/>
    <xf borderId="0" fillId="3" fontId="1" numFmtId="0" xfId="0" applyAlignment="1" applyFill="1" applyFont="1">
      <alignment readingOrder="0"/>
    </xf>
    <xf borderId="0" fillId="0" fontId="5" numFmtId="167" xfId="0" applyAlignment="1" applyFont="1" applyNumberFormat="1">
      <alignment readingOrder="0"/>
    </xf>
    <xf borderId="0" fillId="3" fontId="6" numFmtId="0" xfId="0" applyAlignment="1" applyFont="1">
      <alignment horizontal="right" readingOrder="0" shrinkToFit="0" vertical="bottom" wrapText="0"/>
    </xf>
    <xf borderId="0" fillId="3" fontId="0" numFmtId="0" xfId="0" applyAlignment="1" applyFont="1">
      <alignment readingOrder="0" shrinkToFit="0" vertical="bottom" wrapText="0"/>
    </xf>
    <xf borderId="0" fillId="4" fontId="1" numFmtId="0" xfId="0" applyAlignment="1" applyFill="1" applyFont="1">
      <alignment readingOrder="0"/>
    </xf>
    <xf borderId="0" fillId="0" fontId="2" numFmtId="0" xfId="0" applyFont="1"/>
    <xf borderId="0" fillId="0" fontId="2" numFmtId="0" xfId="0" applyAlignment="1" applyFont="1">
      <alignment horizontal="right" readingOrder="0"/>
    </xf>
    <xf borderId="0" fillId="3" fontId="1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center" readingOrder="0"/>
    </xf>
    <xf borderId="0" fillId="0" fontId="3" numFmtId="0" xfId="0" applyFont="1"/>
    <xf borderId="0" fillId="3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3" fontId="0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29"/>
    <col customWidth="1" min="2" max="2" width="3.14"/>
    <col customWidth="1" min="3" max="3" width="5.86"/>
    <col customWidth="1" min="4" max="4" width="9.0"/>
    <col customWidth="1" min="5" max="5" width="9.14"/>
    <col customWidth="1" min="6" max="6" width="12.14"/>
    <col customWidth="1" min="7" max="7" width="10.71"/>
    <col customWidth="1" min="8" max="8" width="11.43"/>
    <col customWidth="1" min="9" max="9" width="12.43"/>
    <col customWidth="1" min="10" max="10" width="11.86"/>
    <col customWidth="1" min="11" max="11" width="12.86"/>
  </cols>
  <sheetData>
    <row r="1">
      <c r="A1" s="8" t="s">
        <v>8</v>
      </c>
      <c r="B1" s="8" t="s">
        <v>9</v>
      </c>
      <c r="C1" s="8" t="s">
        <v>10</v>
      </c>
      <c r="D1" s="8" t="s">
        <v>11</v>
      </c>
      <c r="E1" s="9" t="s">
        <v>12</v>
      </c>
      <c r="F1" s="9" t="s">
        <v>13</v>
      </c>
      <c r="G1" s="9" t="s">
        <v>14</v>
      </c>
      <c r="H1" s="9" t="s">
        <v>15</v>
      </c>
      <c r="I1" s="9" t="s">
        <v>16</v>
      </c>
      <c r="J1" s="9" t="s">
        <v>17</v>
      </c>
      <c r="K1" s="9" t="s">
        <v>18</v>
      </c>
      <c r="M1" s="10" t="s">
        <v>19</v>
      </c>
    </row>
    <row r="2">
      <c r="A2" s="10">
        <v>170329.0</v>
      </c>
      <c r="B2" s="10">
        <v>1.0</v>
      </c>
      <c r="C2" s="11">
        <v>0.4354166666666667</v>
      </c>
      <c r="D2" s="10">
        <v>43.0</v>
      </c>
      <c r="E2" s="10">
        <v>1.0</v>
      </c>
      <c r="F2" s="10">
        <v>11.74</v>
      </c>
      <c r="G2" s="10">
        <v>20.93</v>
      </c>
      <c r="H2" s="10">
        <v>12.93</v>
      </c>
      <c r="I2" s="10">
        <v>5.29</v>
      </c>
      <c r="J2" s="10">
        <v>35.2</v>
      </c>
      <c r="K2" s="10">
        <v>3.5</v>
      </c>
      <c r="M2" s="10" t="s">
        <v>20</v>
      </c>
    </row>
    <row r="3">
      <c r="A3" s="10">
        <v>170329.0</v>
      </c>
      <c r="B3" s="10">
        <v>2.0</v>
      </c>
      <c r="C3" s="11">
        <v>0.4395833333333333</v>
      </c>
      <c r="D3" s="10">
        <v>42.0</v>
      </c>
      <c r="E3" s="10">
        <v>1.0</v>
      </c>
      <c r="F3" s="10">
        <v>11.34</v>
      </c>
      <c r="G3" s="10">
        <v>22.08</v>
      </c>
      <c r="H3" s="10">
        <v>12.52</v>
      </c>
      <c r="I3" s="10">
        <v>12.02</v>
      </c>
      <c r="J3" s="10">
        <v>19.3</v>
      </c>
      <c r="K3" s="10">
        <v>2.2</v>
      </c>
    </row>
    <row r="4">
      <c r="A4" s="10">
        <v>170329.0</v>
      </c>
      <c r="B4" s="10">
        <v>3.0</v>
      </c>
      <c r="C4" s="11">
        <v>0.44305555555555554</v>
      </c>
      <c r="D4" s="10">
        <v>69.0</v>
      </c>
      <c r="E4" s="10">
        <v>1.0</v>
      </c>
      <c r="F4" s="10">
        <v>10.18</v>
      </c>
      <c r="G4" s="10">
        <v>20.0</v>
      </c>
      <c r="H4" s="10">
        <v>11.32</v>
      </c>
      <c r="I4" s="10">
        <v>3.77</v>
      </c>
      <c r="J4" s="10">
        <v>46.5</v>
      </c>
      <c r="K4" s="10">
        <v>3.44</v>
      </c>
    </row>
    <row r="5">
      <c r="A5" s="10">
        <v>170329.0</v>
      </c>
      <c r="B5" s="10">
        <v>4.0</v>
      </c>
      <c r="C5" s="11">
        <v>0.44930555555555557</v>
      </c>
      <c r="D5" s="10">
        <v>40.0</v>
      </c>
      <c r="E5" s="10">
        <v>1.0</v>
      </c>
      <c r="F5" s="10">
        <v>8.69</v>
      </c>
      <c r="G5" s="10">
        <v>32.11</v>
      </c>
      <c r="H5" s="10">
        <v>20.98</v>
      </c>
      <c r="I5">
        <f>26.23+19.95</f>
        <v>46.18</v>
      </c>
      <c r="J5" s="10">
        <v>19.8</v>
      </c>
      <c r="K5" s="10">
        <v>9.9</v>
      </c>
    </row>
    <row r="6">
      <c r="A6" s="10">
        <v>170329.0</v>
      </c>
      <c r="B6" s="10">
        <v>5.0</v>
      </c>
      <c r="C6" s="11">
        <v>0.4527777777777778</v>
      </c>
      <c r="D6" s="10">
        <v>41.0</v>
      </c>
      <c r="E6" s="10">
        <v>3.0</v>
      </c>
      <c r="F6" s="10">
        <v>10.48</v>
      </c>
      <c r="G6" s="10">
        <v>20.39</v>
      </c>
      <c r="H6" s="10">
        <v>11.51</v>
      </c>
      <c r="I6" s="10">
        <v>8.7</v>
      </c>
      <c r="J6" s="10">
        <v>24.1</v>
      </c>
      <c r="K6" s="10">
        <v>4.0</v>
      </c>
    </row>
    <row r="7">
      <c r="A7" s="10">
        <v>170329.0</v>
      </c>
      <c r="B7" s="10">
        <v>6.0</v>
      </c>
      <c r="C7" s="11">
        <v>0.4576388888888889</v>
      </c>
      <c r="D7" s="10">
        <v>44.0</v>
      </c>
      <c r="E7" s="10">
        <v>1.0</v>
      </c>
      <c r="F7" s="10">
        <v>8.8</v>
      </c>
      <c r="G7" s="10">
        <v>40.58</v>
      </c>
      <c r="H7" s="10">
        <v>22.01</v>
      </c>
      <c r="I7">
        <f>26.16+32</f>
        <v>58.16</v>
      </c>
      <c r="J7" s="10">
        <v>37.1</v>
      </c>
      <c r="K7" s="10">
        <v>21.2</v>
      </c>
    </row>
    <row r="8">
      <c r="A8" s="10">
        <v>170329.0</v>
      </c>
      <c r="B8" s="10">
        <v>7.0</v>
      </c>
      <c r="C8" s="11">
        <v>0.46111111111111114</v>
      </c>
      <c r="D8" s="10">
        <v>52.0</v>
      </c>
      <c r="E8" s="10">
        <v>1.0</v>
      </c>
      <c r="F8" s="10">
        <v>10.77</v>
      </c>
      <c r="G8" s="10">
        <v>21.09</v>
      </c>
      <c r="H8" s="10">
        <v>10.52</v>
      </c>
      <c r="I8" s="10">
        <v>23.81</v>
      </c>
      <c r="J8" s="10">
        <v>10.1</v>
      </c>
      <c r="K8" s="10">
        <v>4.0</v>
      </c>
    </row>
    <row r="9">
      <c r="A9" s="10">
        <v>170329.0</v>
      </c>
      <c r="B9" s="10">
        <v>8.0</v>
      </c>
      <c r="C9" s="11">
        <v>0.46458333333333335</v>
      </c>
      <c r="D9" s="10">
        <v>65.0</v>
      </c>
      <c r="E9" s="10">
        <v>1.0</v>
      </c>
      <c r="F9" s="10">
        <v>9.76</v>
      </c>
      <c r="G9" s="10">
        <v>22.11</v>
      </c>
      <c r="H9" s="10">
        <v>11.73</v>
      </c>
      <c r="I9" s="10">
        <v>23.36</v>
      </c>
      <c r="J9" s="10">
        <v>28.7</v>
      </c>
      <c r="K9" s="10">
        <v>11.1</v>
      </c>
    </row>
    <row r="10">
      <c r="A10" s="10">
        <v>170329.0</v>
      </c>
      <c r="B10" s="10">
        <v>9.0</v>
      </c>
      <c r="C10" s="11">
        <v>0.46944444444444444</v>
      </c>
      <c r="D10" s="10">
        <v>39.0</v>
      </c>
      <c r="E10" s="10">
        <v>1.0</v>
      </c>
      <c r="F10" s="10">
        <v>12.19</v>
      </c>
      <c r="G10" s="10">
        <v>23.33</v>
      </c>
      <c r="H10" s="10">
        <v>13.48</v>
      </c>
      <c r="I10">
        <f>5.27+32</f>
        <v>37.27</v>
      </c>
      <c r="J10" s="10">
        <v>29.0</v>
      </c>
      <c r="K10" s="10">
        <v>9.0</v>
      </c>
    </row>
    <row r="11">
      <c r="A11" s="10">
        <v>170329.0</v>
      </c>
      <c r="B11" s="10">
        <v>10.0</v>
      </c>
      <c r="C11" s="11">
        <v>0.47291666666666665</v>
      </c>
      <c r="D11" s="10">
        <v>50.0</v>
      </c>
      <c r="E11" s="10">
        <v>2.0</v>
      </c>
      <c r="F11" s="10">
        <v>11.33</v>
      </c>
      <c r="G11" s="10">
        <v>19.72</v>
      </c>
      <c r="H11" s="10">
        <v>9.7</v>
      </c>
      <c r="I11" s="10">
        <v>15.86</v>
      </c>
      <c r="J11" s="10">
        <v>20.8</v>
      </c>
      <c r="K11" s="10">
        <v>5.6</v>
      </c>
    </row>
    <row r="12">
      <c r="A12" s="10">
        <v>170329.0</v>
      </c>
      <c r="B12" s="10">
        <v>11.0</v>
      </c>
      <c r="C12" s="11">
        <v>0.4777777777777778</v>
      </c>
      <c r="D12" s="10">
        <v>49.0</v>
      </c>
      <c r="E12" s="10">
        <v>2.0</v>
      </c>
      <c r="F12" s="10">
        <v>9.32</v>
      </c>
      <c r="G12" s="10">
        <v>35.62</v>
      </c>
      <c r="H12" s="10">
        <v>21.47</v>
      </c>
      <c r="I12">
        <f>7.5+23.14</f>
        <v>30.64</v>
      </c>
      <c r="J12" s="10">
        <v>31.8</v>
      </c>
      <c r="K12" s="10">
        <v>9.0</v>
      </c>
    </row>
    <row r="13">
      <c r="A13" s="10">
        <v>170329.0</v>
      </c>
      <c r="B13" s="10">
        <v>12.0</v>
      </c>
      <c r="C13" s="11">
        <v>0.48194444444444445</v>
      </c>
      <c r="D13" s="10">
        <v>51.0</v>
      </c>
      <c r="E13" s="10">
        <v>1.0</v>
      </c>
      <c r="F13" s="10">
        <v>11.67</v>
      </c>
      <c r="G13" s="10">
        <v>22.15</v>
      </c>
      <c r="H13" s="10">
        <v>12.73</v>
      </c>
      <c r="I13">
        <f>5.17+25.21</f>
        <v>30.38</v>
      </c>
      <c r="J13" s="10">
        <v>25.8</v>
      </c>
      <c r="K13" s="10">
        <v>10.6</v>
      </c>
    </row>
    <row r="14">
      <c r="A14" s="10">
        <v>170329.0</v>
      </c>
      <c r="B14" s="10">
        <v>13.0</v>
      </c>
      <c r="C14" s="11">
        <v>0.4861111111111111</v>
      </c>
      <c r="D14" s="10">
        <v>48.0</v>
      </c>
      <c r="E14" s="10">
        <v>1.0</v>
      </c>
      <c r="F14" s="10">
        <v>9.68</v>
      </c>
      <c r="G14" s="10">
        <v>34.7</v>
      </c>
      <c r="H14" s="10">
        <v>20.97</v>
      </c>
      <c r="I14">
        <f>5.58+32</f>
        <v>37.58</v>
      </c>
      <c r="J14" s="10">
        <v>31.6</v>
      </c>
      <c r="K14" s="10">
        <v>15.5</v>
      </c>
    </row>
    <row r="15">
      <c r="A15" s="10">
        <v>170329.0</v>
      </c>
      <c r="B15" s="10">
        <v>14.0</v>
      </c>
      <c r="C15" s="11">
        <v>0.4888888888888889</v>
      </c>
      <c r="D15" s="10">
        <v>70.0</v>
      </c>
      <c r="E15" s="10">
        <v>1.0</v>
      </c>
      <c r="F15" s="10">
        <v>9.77</v>
      </c>
      <c r="G15" s="10">
        <v>19.25</v>
      </c>
      <c r="H15" s="10">
        <v>10.64</v>
      </c>
      <c r="I15" s="10">
        <v>8.7</v>
      </c>
      <c r="J15" s="10">
        <v>20.1</v>
      </c>
      <c r="K15" s="10">
        <v>3.0</v>
      </c>
    </row>
    <row r="16">
      <c r="A16" s="10">
        <v>170329.0</v>
      </c>
      <c r="B16" s="10">
        <v>15.0</v>
      </c>
      <c r="C16" s="11">
        <v>0.49444444444444446</v>
      </c>
      <c r="D16" s="10">
        <v>67.0</v>
      </c>
      <c r="E16" s="10">
        <v>1.0</v>
      </c>
      <c r="F16" s="10">
        <v>10.59</v>
      </c>
      <c r="G16" s="10">
        <v>37.49</v>
      </c>
      <c r="H16" s="10">
        <v>22.12</v>
      </c>
      <c r="I16">
        <f>20.99+30.86</f>
        <v>51.85</v>
      </c>
      <c r="J16" s="10">
        <v>44.2</v>
      </c>
      <c r="K16" s="10">
        <v>27.0</v>
      </c>
    </row>
    <row r="17">
      <c r="A17" s="10">
        <v>170329.0</v>
      </c>
      <c r="B17" s="10">
        <v>16.0</v>
      </c>
      <c r="C17" s="11">
        <v>0.5</v>
      </c>
      <c r="D17" s="10">
        <v>59.0</v>
      </c>
      <c r="E17" s="10">
        <v>2.0</v>
      </c>
      <c r="F17" s="10">
        <v>8.63</v>
      </c>
      <c r="G17" s="10">
        <v>19.34</v>
      </c>
      <c r="H17" s="10">
        <v>11.22</v>
      </c>
      <c r="I17" s="10">
        <v>9.02</v>
      </c>
      <c r="J17" s="10">
        <v>26.8</v>
      </c>
      <c r="K17" s="10">
        <v>6.0</v>
      </c>
    </row>
    <row r="18">
      <c r="A18" s="10">
        <v>170330.0</v>
      </c>
      <c r="B18" s="10">
        <v>1.0</v>
      </c>
      <c r="C18" s="11">
        <v>0.3909722222222222</v>
      </c>
      <c r="D18" s="10">
        <v>97.0</v>
      </c>
      <c r="E18" s="10">
        <v>1.0</v>
      </c>
      <c r="F18" s="10">
        <v>10.67</v>
      </c>
      <c r="G18" s="10">
        <v>21.8</v>
      </c>
      <c r="H18" s="10">
        <v>11.43</v>
      </c>
      <c r="I18" s="10">
        <v>13.64</v>
      </c>
      <c r="J18" s="10">
        <v>28.6</v>
      </c>
      <c r="K18" s="10">
        <v>7.0</v>
      </c>
      <c r="M18" s="10" t="s">
        <v>60</v>
      </c>
    </row>
    <row r="19">
      <c r="A19" s="10">
        <v>170330.0</v>
      </c>
      <c r="B19" s="10">
        <v>2.0</v>
      </c>
      <c r="C19" s="11">
        <v>0.3951388888888889</v>
      </c>
      <c r="D19" s="10">
        <v>107.0</v>
      </c>
      <c r="E19" s="10">
        <v>1.0</v>
      </c>
      <c r="F19" s="10">
        <v>12.11</v>
      </c>
      <c r="G19" s="10">
        <v>24.04</v>
      </c>
      <c r="H19" s="10">
        <v>12.59</v>
      </c>
      <c r="I19" s="10">
        <v>24.23</v>
      </c>
      <c r="J19" s="10">
        <v>27.2</v>
      </c>
      <c r="K19" s="10">
        <v>9.2</v>
      </c>
    </row>
    <row r="20">
      <c r="A20" s="10">
        <v>170330.0</v>
      </c>
      <c r="B20" s="10">
        <v>3.0</v>
      </c>
      <c r="C20" s="11">
        <v>0.39861111111111114</v>
      </c>
      <c r="D20" s="10">
        <v>88.0</v>
      </c>
      <c r="E20" s="10">
        <v>1.0</v>
      </c>
      <c r="F20" s="10">
        <v>11.37</v>
      </c>
      <c r="G20" s="10">
        <v>26.06</v>
      </c>
      <c r="H20" s="10">
        <v>13.24</v>
      </c>
      <c r="I20" s="10">
        <v>11.67</v>
      </c>
      <c r="J20" s="10">
        <v>21.4</v>
      </c>
      <c r="K20" s="10">
        <v>4.9</v>
      </c>
    </row>
    <row r="21">
      <c r="A21" s="10">
        <v>170330.0</v>
      </c>
      <c r="B21" s="10">
        <v>4.0</v>
      </c>
      <c r="C21" s="11">
        <v>0.40208333333333335</v>
      </c>
      <c r="D21" s="10">
        <v>110.0</v>
      </c>
      <c r="E21" s="10">
        <v>1.0</v>
      </c>
      <c r="F21" s="10">
        <v>12.65</v>
      </c>
      <c r="G21" s="10">
        <v>26.49</v>
      </c>
      <c r="H21" s="10">
        <v>13.94</v>
      </c>
      <c r="I21" s="10">
        <v>7.18</v>
      </c>
      <c r="J21" s="10">
        <v>21.7</v>
      </c>
      <c r="K21" s="10">
        <v>2.6</v>
      </c>
    </row>
    <row r="22">
      <c r="A22" s="10">
        <v>170330.0</v>
      </c>
      <c r="B22" s="10">
        <v>5.0</v>
      </c>
      <c r="C22" s="11">
        <v>0.40625</v>
      </c>
      <c r="D22" s="10">
        <v>94.0</v>
      </c>
      <c r="E22" s="10">
        <v>1.0</v>
      </c>
      <c r="F22" s="10">
        <v>11.84</v>
      </c>
      <c r="G22" s="10">
        <v>23.02</v>
      </c>
      <c r="H22" s="10">
        <v>12.92</v>
      </c>
      <c r="I22" s="10">
        <v>12.01</v>
      </c>
      <c r="J22" s="10">
        <v>24.2</v>
      </c>
      <c r="K22" s="10">
        <v>5.1</v>
      </c>
    </row>
    <row r="23">
      <c r="A23" s="10">
        <v>170330.0</v>
      </c>
      <c r="B23" s="10">
        <v>6.0</v>
      </c>
      <c r="C23" s="11">
        <v>0.41180555555555554</v>
      </c>
      <c r="D23" s="10">
        <v>101.0</v>
      </c>
      <c r="E23" s="10">
        <v>2.0</v>
      </c>
      <c r="F23" s="10">
        <v>12.25</v>
      </c>
      <c r="G23" s="10">
        <v>22.94</v>
      </c>
      <c r="H23" s="10">
        <v>13.42</v>
      </c>
      <c r="I23" s="10">
        <v>14.06</v>
      </c>
      <c r="J23" s="10" t="s">
        <v>65</v>
      </c>
      <c r="K23" s="10">
        <v>6.2</v>
      </c>
    </row>
    <row r="24">
      <c r="A24" s="10">
        <v>170330.0</v>
      </c>
      <c r="B24" s="10">
        <v>7.0</v>
      </c>
      <c r="C24" s="11">
        <v>0.4166666666666667</v>
      </c>
      <c r="D24" s="10">
        <v>102.0</v>
      </c>
      <c r="E24" s="10">
        <v>1.0</v>
      </c>
      <c r="F24" s="10">
        <v>9.8</v>
      </c>
      <c r="G24" s="10">
        <v>35.84</v>
      </c>
      <c r="H24" s="10">
        <v>23.69</v>
      </c>
      <c r="I24" s="10">
        <v>25.41</v>
      </c>
      <c r="J24" s="10">
        <v>33.3</v>
      </c>
      <c r="K24" s="10">
        <v>11.8</v>
      </c>
    </row>
    <row r="25">
      <c r="A25" s="10">
        <v>170330.0</v>
      </c>
      <c r="B25" s="10">
        <v>8.0</v>
      </c>
      <c r="C25" s="11">
        <v>0.42430555555555555</v>
      </c>
      <c r="D25" s="10">
        <v>84.0</v>
      </c>
      <c r="E25" s="10">
        <v>1.0</v>
      </c>
      <c r="F25" s="10">
        <v>12.39</v>
      </c>
      <c r="G25" s="10">
        <v>22.57</v>
      </c>
      <c r="H25" s="10">
        <v>12.39</v>
      </c>
      <c r="I25">
        <f>7.57+6.57</f>
        <v>14.14</v>
      </c>
      <c r="J25" s="10">
        <v>24.0</v>
      </c>
      <c r="K25" s="10">
        <v>6.5</v>
      </c>
    </row>
    <row r="26">
      <c r="A26" s="10">
        <v>170330.0</v>
      </c>
      <c r="B26" s="10">
        <v>9.0</v>
      </c>
      <c r="C26" s="11">
        <v>0.4284722222222222</v>
      </c>
      <c r="D26" s="10">
        <v>78.0</v>
      </c>
      <c r="E26" s="10">
        <v>2.0</v>
      </c>
      <c r="F26" s="10">
        <v>10.16</v>
      </c>
      <c r="G26" s="10">
        <v>21.89</v>
      </c>
      <c r="H26" s="10">
        <v>12.48</v>
      </c>
      <c r="I26" s="10">
        <v>12.46</v>
      </c>
      <c r="J26" s="10">
        <v>26.2</v>
      </c>
      <c r="K26" s="10">
        <v>5.8</v>
      </c>
    </row>
    <row r="27">
      <c r="A27" s="10">
        <v>170330.0</v>
      </c>
      <c r="B27" s="10">
        <v>10.0</v>
      </c>
      <c r="C27" s="11">
        <v>0.43194444444444446</v>
      </c>
      <c r="D27" s="10">
        <v>86.0</v>
      </c>
      <c r="E27" s="10">
        <v>1.0</v>
      </c>
      <c r="F27" s="10">
        <v>12.5</v>
      </c>
      <c r="G27" s="10">
        <v>21.82</v>
      </c>
      <c r="H27" s="10">
        <v>10.94</v>
      </c>
      <c r="I27" s="10">
        <v>20.36</v>
      </c>
      <c r="J27" s="10">
        <v>23.8</v>
      </c>
      <c r="K27" s="10">
        <v>8.2</v>
      </c>
    </row>
    <row r="28">
      <c r="A28" s="10">
        <v>170330.0</v>
      </c>
      <c r="B28" s="10">
        <v>11.0</v>
      </c>
      <c r="C28" s="11">
        <v>0.43680555555555556</v>
      </c>
      <c r="D28" s="10">
        <v>90.0</v>
      </c>
      <c r="E28" s="10">
        <v>1.0</v>
      </c>
      <c r="F28" s="10">
        <v>11.32</v>
      </c>
      <c r="G28" s="10">
        <v>20.72</v>
      </c>
      <c r="I28" s="10">
        <v>16.61</v>
      </c>
      <c r="J28" s="10">
        <v>22.6</v>
      </c>
      <c r="K28" s="10">
        <v>6.2</v>
      </c>
    </row>
    <row r="29">
      <c r="A29" s="10">
        <v>170330.0</v>
      </c>
      <c r="B29" s="10">
        <v>12.0</v>
      </c>
      <c r="C29" s="11">
        <v>0.44027777777777777</v>
      </c>
      <c r="D29" s="10">
        <v>74.0</v>
      </c>
      <c r="E29" s="10">
        <v>1.0</v>
      </c>
      <c r="F29" s="10">
        <v>10.1</v>
      </c>
      <c r="G29" s="10">
        <v>20.13</v>
      </c>
      <c r="H29" s="10">
        <v>11.22</v>
      </c>
      <c r="I29" s="10">
        <v>13.51</v>
      </c>
      <c r="J29" s="10">
        <v>17.3</v>
      </c>
      <c r="K29" s="10">
        <v>3.4</v>
      </c>
    </row>
    <row r="30">
      <c r="A30" s="10">
        <v>170330.0</v>
      </c>
      <c r="B30" s="10">
        <v>13.0</v>
      </c>
      <c r="C30" s="11">
        <v>0.44583333333333336</v>
      </c>
      <c r="D30" s="10">
        <v>100.0</v>
      </c>
      <c r="E30" s="10">
        <v>1.0</v>
      </c>
      <c r="F30" s="10">
        <v>11.77</v>
      </c>
      <c r="G30" s="10">
        <v>22.26</v>
      </c>
      <c r="H30" s="10">
        <v>10.56</v>
      </c>
      <c r="I30" s="10">
        <v>20.79</v>
      </c>
      <c r="J30" s="10">
        <v>21.2</v>
      </c>
      <c r="K30" s="10">
        <v>6.8</v>
      </c>
    </row>
    <row r="31">
      <c r="A31" s="10">
        <v>170330.0</v>
      </c>
      <c r="B31" s="10">
        <v>14.0</v>
      </c>
      <c r="C31" s="11">
        <v>0.44930555555555557</v>
      </c>
      <c r="D31" s="10">
        <v>81.0</v>
      </c>
      <c r="E31" s="10">
        <v>1.0</v>
      </c>
      <c r="F31" s="10">
        <v>11.21</v>
      </c>
      <c r="G31" s="10">
        <v>24.21</v>
      </c>
      <c r="H31" s="10">
        <v>11.66</v>
      </c>
      <c r="I31" s="10">
        <v>4.24</v>
      </c>
      <c r="J31" s="10">
        <v>18.8</v>
      </c>
      <c r="K31" s="10">
        <v>1.2</v>
      </c>
    </row>
    <row r="32">
      <c r="A32" s="10">
        <v>170330.0</v>
      </c>
      <c r="B32" s="10">
        <v>15.0</v>
      </c>
      <c r="C32" s="11">
        <v>0.4534722222222222</v>
      </c>
      <c r="D32" s="10">
        <v>115.0</v>
      </c>
      <c r="E32" s="10">
        <v>1.0</v>
      </c>
      <c r="F32" s="10">
        <v>11.76</v>
      </c>
      <c r="G32" s="10">
        <v>22.67</v>
      </c>
      <c r="H32" s="10">
        <v>13.51</v>
      </c>
      <c r="I32" s="10">
        <v>14.55</v>
      </c>
      <c r="J32" s="10">
        <v>18.8</v>
      </c>
      <c r="K32" s="10">
        <v>5.1</v>
      </c>
      <c r="M32" s="10" t="s">
        <v>73</v>
      </c>
    </row>
    <row r="33">
      <c r="A33" s="10">
        <v>170330.0</v>
      </c>
      <c r="B33" s="10">
        <v>16.0</v>
      </c>
      <c r="C33" s="11">
        <v>0.46597222222222223</v>
      </c>
      <c r="D33" s="10">
        <v>67.0</v>
      </c>
      <c r="E33" s="10">
        <v>2.0</v>
      </c>
      <c r="F33" s="10">
        <v>9.88</v>
      </c>
      <c r="G33" s="10">
        <v>36.27</v>
      </c>
      <c r="H33" s="10">
        <v>22.39</v>
      </c>
      <c r="I33">
        <f>20.93+24.33+21.33+19.5</f>
        <v>86.09</v>
      </c>
      <c r="J33" s="10">
        <v>32.6</v>
      </c>
      <c r="K33" s="10">
        <v>24.2</v>
      </c>
    </row>
    <row r="34">
      <c r="A34" s="10">
        <v>170330.0</v>
      </c>
      <c r="B34" s="10">
        <v>17.0</v>
      </c>
      <c r="C34" s="11">
        <v>0.4701388888888889</v>
      </c>
      <c r="D34" s="10">
        <v>56.0</v>
      </c>
      <c r="E34" s="10">
        <v>2.0</v>
      </c>
      <c r="F34" s="10">
        <v>11.65</v>
      </c>
      <c r="G34" s="10">
        <v>21.47</v>
      </c>
      <c r="H34" s="10">
        <v>11.53</v>
      </c>
      <c r="I34" s="10">
        <v>15.49</v>
      </c>
      <c r="J34" s="10">
        <v>14.9</v>
      </c>
      <c r="K34" s="10">
        <v>3.2</v>
      </c>
    </row>
    <row r="35">
      <c r="A35" s="10">
        <v>170330.0</v>
      </c>
      <c r="B35" s="10">
        <v>18.0</v>
      </c>
      <c r="C35" s="11">
        <v>0.4736111111111111</v>
      </c>
      <c r="D35" s="10">
        <v>52.0</v>
      </c>
      <c r="E35" s="10">
        <v>2.0</v>
      </c>
      <c r="F35" s="10">
        <v>10.98</v>
      </c>
      <c r="G35" s="10">
        <v>22.75</v>
      </c>
      <c r="H35" s="10">
        <v>11.36</v>
      </c>
      <c r="I35" s="10">
        <v>6.67</v>
      </c>
      <c r="J35" s="10">
        <v>17.3</v>
      </c>
      <c r="K35" s="10">
        <v>1.6</v>
      </c>
    </row>
    <row r="36">
      <c r="A36" s="10">
        <v>170330.0</v>
      </c>
      <c r="B36" s="10">
        <v>19.0</v>
      </c>
      <c r="C36" s="11">
        <v>0.47708333333333336</v>
      </c>
      <c r="D36" s="10">
        <v>40.0</v>
      </c>
      <c r="E36" s="10">
        <v>4.0</v>
      </c>
      <c r="F36" s="10">
        <v>11.29</v>
      </c>
      <c r="G36" s="10">
        <v>35.63</v>
      </c>
      <c r="H36" s="10">
        <v>20.87</v>
      </c>
      <c r="I36" s="10">
        <v>10.03</v>
      </c>
      <c r="J36" s="10">
        <v>26.4</v>
      </c>
      <c r="K36" s="10">
        <v>5.0</v>
      </c>
    </row>
    <row r="37">
      <c r="A37" s="10">
        <v>170330.0</v>
      </c>
      <c r="B37" s="10">
        <v>20.0</v>
      </c>
      <c r="C37" s="11">
        <v>0.48055555555555557</v>
      </c>
      <c r="D37" s="10">
        <v>41.0</v>
      </c>
      <c r="E37" s="10">
        <v>1.0</v>
      </c>
      <c r="F37" s="10">
        <v>10.32</v>
      </c>
      <c r="G37" s="10">
        <v>18.7</v>
      </c>
      <c r="H37" s="10">
        <v>10.82</v>
      </c>
      <c r="I37" s="10">
        <v>3.71</v>
      </c>
      <c r="J37" s="10">
        <v>8.0</v>
      </c>
      <c r="K37" s="10">
        <v>0.0</v>
      </c>
    </row>
    <row r="38">
      <c r="A38" s="10">
        <v>170330.0</v>
      </c>
      <c r="B38" s="10">
        <v>21.0</v>
      </c>
      <c r="C38" s="11">
        <v>0.48541666666666666</v>
      </c>
      <c r="D38" s="10">
        <v>51.0</v>
      </c>
      <c r="E38" s="10">
        <v>1.0</v>
      </c>
      <c r="F38" s="10">
        <v>11.69</v>
      </c>
      <c r="G38" s="10">
        <v>21.03</v>
      </c>
      <c r="H38" s="10">
        <v>12.31</v>
      </c>
      <c r="I38">
        <f>4.2+28.03</f>
        <v>32.23</v>
      </c>
      <c r="J38" s="10">
        <v>23.8</v>
      </c>
      <c r="K38" s="10">
        <v>9.8</v>
      </c>
    </row>
    <row r="39">
      <c r="A39" s="10">
        <v>170330.0</v>
      </c>
      <c r="B39" s="10">
        <v>22.0</v>
      </c>
      <c r="C39" s="11">
        <v>0.4909722222222222</v>
      </c>
      <c r="D39" s="10">
        <v>58.0</v>
      </c>
      <c r="E39" s="10">
        <v>2.0</v>
      </c>
      <c r="F39" s="10">
        <v>9.19</v>
      </c>
      <c r="G39" s="10">
        <v>18.37</v>
      </c>
      <c r="H39" s="10">
        <v>10.71</v>
      </c>
      <c r="I39" s="10">
        <v>3.06</v>
      </c>
      <c r="J39" s="10">
        <v>6.5</v>
      </c>
      <c r="K39" s="10">
        <v>0.0</v>
      </c>
    </row>
    <row r="40">
      <c r="A40" s="10">
        <v>170330.0</v>
      </c>
      <c r="B40" s="10">
        <v>23.0</v>
      </c>
      <c r="C40" s="11">
        <v>0.49444444444444446</v>
      </c>
      <c r="D40" s="10">
        <v>63.0</v>
      </c>
      <c r="E40" s="10">
        <v>1.0</v>
      </c>
      <c r="F40" s="10">
        <v>9.81</v>
      </c>
      <c r="G40" s="10">
        <v>19.05</v>
      </c>
      <c r="H40" s="10">
        <v>11.27</v>
      </c>
      <c r="I40" s="10">
        <v>15.64</v>
      </c>
      <c r="J40" s="10">
        <v>9.0</v>
      </c>
      <c r="K40" s="10">
        <v>3.1</v>
      </c>
    </row>
    <row r="41">
      <c r="A41" s="10">
        <v>170330.0</v>
      </c>
      <c r="B41" s="10">
        <v>24.0</v>
      </c>
      <c r="C41" s="11">
        <v>0.4979166666666667</v>
      </c>
      <c r="D41" s="10">
        <v>37.0</v>
      </c>
      <c r="E41" s="10">
        <v>1.0</v>
      </c>
      <c r="F41" s="10">
        <v>9.41</v>
      </c>
      <c r="G41" s="10">
        <v>19.63</v>
      </c>
      <c r="H41" s="10">
        <v>11.67</v>
      </c>
      <c r="I41" s="10">
        <v>18.86</v>
      </c>
      <c r="J41" s="10">
        <v>20.4</v>
      </c>
      <c r="K41" s="10">
        <v>6.9</v>
      </c>
    </row>
    <row r="42">
      <c r="A42" s="10">
        <v>170331.0</v>
      </c>
      <c r="B42" s="10">
        <v>1.0</v>
      </c>
      <c r="C42" s="11">
        <v>0.4375</v>
      </c>
      <c r="D42" s="10">
        <v>15.0</v>
      </c>
      <c r="E42" s="10">
        <v>1.0</v>
      </c>
      <c r="F42" s="10">
        <v>12.5</v>
      </c>
      <c r="G42" s="10">
        <v>20.61</v>
      </c>
      <c r="H42" s="10">
        <v>10.85</v>
      </c>
      <c r="I42" s="10">
        <v>21.48</v>
      </c>
      <c r="J42" s="10">
        <v>26.7</v>
      </c>
      <c r="K42" s="10">
        <v>9.8</v>
      </c>
    </row>
    <row r="43">
      <c r="A43" s="10">
        <v>170331.0</v>
      </c>
      <c r="B43" s="10">
        <v>2.0</v>
      </c>
      <c r="C43" s="11">
        <v>0.44166666666666665</v>
      </c>
      <c r="D43" s="10">
        <v>28.0</v>
      </c>
      <c r="E43" s="10">
        <v>2.0</v>
      </c>
      <c r="F43" s="10">
        <v>10.7</v>
      </c>
      <c r="G43" s="10">
        <v>20.91</v>
      </c>
      <c r="H43" s="10">
        <v>11.29</v>
      </c>
      <c r="I43" s="10">
        <v>9.72</v>
      </c>
      <c r="J43" s="10">
        <v>17.2</v>
      </c>
      <c r="K43" s="10">
        <v>3.2</v>
      </c>
    </row>
    <row r="44">
      <c r="A44" s="10">
        <v>170331.0</v>
      </c>
      <c r="B44" s="10">
        <v>3.0</v>
      </c>
      <c r="C44" s="11">
        <v>0.4486111111111111</v>
      </c>
      <c r="D44" s="10">
        <v>6.0</v>
      </c>
      <c r="E44" s="10">
        <v>1.0</v>
      </c>
      <c r="F44" s="10">
        <v>10.96</v>
      </c>
      <c r="G44" s="10">
        <v>22.58</v>
      </c>
      <c r="H44" s="10">
        <v>12.26</v>
      </c>
      <c r="I44" s="10">
        <v>12.34</v>
      </c>
      <c r="J44" s="10">
        <v>21.2</v>
      </c>
      <c r="K44" s="10">
        <v>5.0</v>
      </c>
    </row>
    <row r="45">
      <c r="A45" s="10">
        <v>170331.0</v>
      </c>
      <c r="B45" s="10">
        <v>4.0</v>
      </c>
      <c r="C45" s="11">
        <v>0.45208333333333334</v>
      </c>
      <c r="D45" s="10">
        <v>7.0</v>
      </c>
      <c r="E45" s="10">
        <v>1.0</v>
      </c>
      <c r="F45" s="10">
        <v>11.38</v>
      </c>
      <c r="G45" s="10">
        <v>20.47</v>
      </c>
      <c r="H45" s="10">
        <v>10.92</v>
      </c>
      <c r="I45" s="10">
        <v>15.47</v>
      </c>
      <c r="J45" s="10">
        <v>26.3</v>
      </c>
      <c r="K45" s="10">
        <v>7.1</v>
      </c>
    </row>
    <row r="46">
      <c r="A46" s="10">
        <v>170331.0</v>
      </c>
      <c r="B46" s="10">
        <v>5.0</v>
      </c>
      <c r="C46" s="11">
        <v>0.4576388888888889</v>
      </c>
      <c r="D46" s="10">
        <v>31.0</v>
      </c>
      <c r="E46" s="10">
        <v>1.0</v>
      </c>
      <c r="F46" s="10">
        <v>9.75</v>
      </c>
      <c r="G46" s="10">
        <v>32.74</v>
      </c>
      <c r="H46" s="10">
        <v>21.73</v>
      </c>
      <c r="I46">
        <f>32+28.35</f>
        <v>60.35</v>
      </c>
      <c r="J46" s="10">
        <v>30.6</v>
      </c>
      <c r="K46" s="10">
        <v>18.6</v>
      </c>
    </row>
    <row r="47">
      <c r="A47" s="10">
        <v>170331.0</v>
      </c>
      <c r="B47" s="10">
        <v>6.0</v>
      </c>
      <c r="C47" s="11">
        <v>0.46111111111111114</v>
      </c>
      <c r="D47" s="10">
        <v>23.0</v>
      </c>
      <c r="E47" s="10">
        <v>2.0</v>
      </c>
      <c r="F47" s="10">
        <v>9.82</v>
      </c>
      <c r="G47" s="10">
        <v>19.36</v>
      </c>
      <c r="H47" s="10">
        <v>7.88</v>
      </c>
      <c r="I47" s="10">
        <v>17.62</v>
      </c>
      <c r="J47" s="10">
        <v>23.3</v>
      </c>
      <c r="K47" s="10">
        <v>7.2</v>
      </c>
    </row>
    <row r="48">
      <c r="A48" s="10">
        <v>170331.0</v>
      </c>
      <c r="B48" s="10">
        <v>7.0</v>
      </c>
      <c r="C48" s="11">
        <v>0.4652777777777778</v>
      </c>
      <c r="D48" s="10">
        <v>18.0</v>
      </c>
      <c r="E48" s="10">
        <v>1.0</v>
      </c>
      <c r="F48" s="10">
        <v>10.63</v>
      </c>
      <c r="G48" s="10">
        <v>19.65</v>
      </c>
      <c r="H48" s="10">
        <v>12.06</v>
      </c>
      <c r="I48" s="10">
        <v>26.34</v>
      </c>
      <c r="J48" s="10">
        <v>24.0</v>
      </c>
      <c r="K48" s="10">
        <v>9.8</v>
      </c>
    </row>
    <row r="49">
      <c r="A49" s="10">
        <v>170331.0</v>
      </c>
      <c r="B49" s="10">
        <v>8.0</v>
      </c>
      <c r="C49" s="11">
        <v>0.46875</v>
      </c>
      <c r="D49" s="10">
        <v>21.0</v>
      </c>
      <c r="E49" s="10">
        <v>2.0</v>
      </c>
      <c r="F49" s="10">
        <v>10.36</v>
      </c>
      <c r="G49" s="10">
        <v>21.41</v>
      </c>
      <c r="H49" s="10">
        <v>12.42</v>
      </c>
      <c r="I49" s="10">
        <v>22.06</v>
      </c>
      <c r="J49" s="10">
        <v>22.7</v>
      </c>
      <c r="K49" s="10">
        <v>10.1</v>
      </c>
    </row>
    <row r="50">
      <c r="A50" s="10">
        <v>170331.0</v>
      </c>
      <c r="B50" s="10">
        <v>9.0</v>
      </c>
      <c r="C50" s="11">
        <v>0.4736111111111111</v>
      </c>
      <c r="D50" s="10">
        <v>9.0</v>
      </c>
      <c r="E50" s="10">
        <v>1.0</v>
      </c>
      <c r="F50" s="10">
        <v>9.77</v>
      </c>
      <c r="G50" s="10">
        <v>18.32</v>
      </c>
      <c r="H50" s="10">
        <v>11.08</v>
      </c>
      <c r="I50" s="10">
        <v>5.63</v>
      </c>
      <c r="J50" s="10">
        <v>27.2</v>
      </c>
      <c r="K50" s="10">
        <v>3.0</v>
      </c>
      <c r="M50" s="10" t="s">
        <v>83</v>
      </c>
    </row>
    <row r="51">
      <c r="A51" s="10">
        <v>170331.0</v>
      </c>
      <c r="B51" s="10">
        <v>10.0</v>
      </c>
      <c r="C51" s="11">
        <v>0.48194444444444445</v>
      </c>
      <c r="D51" s="10">
        <v>16.0</v>
      </c>
      <c r="E51" s="10">
        <v>2.0</v>
      </c>
      <c r="F51" s="10">
        <v>9.37</v>
      </c>
      <c r="G51" s="10">
        <v>21.59</v>
      </c>
      <c r="H51" s="10">
        <v>10.83</v>
      </c>
      <c r="I51" s="10">
        <v>20.84</v>
      </c>
      <c r="J51" s="10">
        <v>18.4</v>
      </c>
      <c r="K51" s="10">
        <v>4.8</v>
      </c>
    </row>
    <row r="52">
      <c r="A52" s="10">
        <v>170331.0</v>
      </c>
      <c r="B52" s="10">
        <v>11.0</v>
      </c>
      <c r="C52" s="11">
        <v>0.49027777777777776</v>
      </c>
      <c r="D52" s="10">
        <v>102.0</v>
      </c>
      <c r="E52" s="10">
        <v>1.0</v>
      </c>
      <c r="F52" s="10">
        <v>9.24</v>
      </c>
      <c r="G52" s="10">
        <v>35.57</v>
      </c>
      <c r="H52" s="10">
        <v>22.56</v>
      </c>
      <c r="I52">
        <f>16.13+28.29</f>
        <v>44.42</v>
      </c>
      <c r="J52" s="10">
        <v>29.1</v>
      </c>
      <c r="K52" s="10">
        <v>15.1</v>
      </c>
      <c r="M52" s="10" t="s">
        <v>85</v>
      </c>
    </row>
    <row r="53">
      <c r="A53" s="10">
        <v>170331.0</v>
      </c>
      <c r="B53" s="10">
        <v>12.0</v>
      </c>
      <c r="C53" s="11">
        <v>0.49444444444444446</v>
      </c>
      <c r="D53" s="10">
        <v>107.0</v>
      </c>
      <c r="E53" s="10">
        <v>2.0</v>
      </c>
      <c r="F53" s="10">
        <v>12.53</v>
      </c>
      <c r="G53" s="10">
        <v>24.01</v>
      </c>
      <c r="I53" s="10">
        <v>23.87</v>
      </c>
      <c r="J53" s="10">
        <v>24.1</v>
      </c>
      <c r="K53" s="10">
        <v>9.9</v>
      </c>
    </row>
    <row r="54">
      <c r="A54" s="10">
        <v>170331.0</v>
      </c>
      <c r="B54" s="10">
        <v>13.0</v>
      </c>
      <c r="C54" s="11">
        <v>0.4986111111111111</v>
      </c>
      <c r="D54" s="10">
        <v>105.0</v>
      </c>
      <c r="E54" s="10">
        <v>1.0</v>
      </c>
      <c r="F54" s="10">
        <v>9.9</v>
      </c>
      <c r="G54" s="10">
        <v>37.71</v>
      </c>
      <c r="H54" s="10">
        <v>22.94</v>
      </c>
      <c r="I54">
        <f>23.26+21.4</f>
        <v>44.66</v>
      </c>
      <c r="J54" s="10">
        <v>28.4</v>
      </c>
      <c r="K54" s="10">
        <v>15.2</v>
      </c>
    </row>
    <row r="55">
      <c r="A55" s="10">
        <v>170401.0</v>
      </c>
      <c r="B55" s="10">
        <v>1.0</v>
      </c>
      <c r="C55" s="11">
        <v>0.37916666666666665</v>
      </c>
      <c r="D55" s="10">
        <v>49.0</v>
      </c>
      <c r="E55" s="10">
        <v>1.0</v>
      </c>
      <c r="F55" s="10">
        <v>9.44</v>
      </c>
      <c r="G55" s="10">
        <v>33.24</v>
      </c>
      <c r="H55" s="10">
        <v>21.59</v>
      </c>
      <c r="I55">
        <f>19.02+26.38</f>
        <v>45.4</v>
      </c>
      <c r="J55" s="10">
        <v>27.1</v>
      </c>
      <c r="K55" s="10">
        <v>8.8</v>
      </c>
      <c r="M55" s="10" t="s">
        <v>89</v>
      </c>
    </row>
    <row r="56">
      <c r="A56" s="10">
        <v>170401.0</v>
      </c>
      <c r="B56" s="10">
        <v>2.0</v>
      </c>
      <c r="C56" s="11">
        <v>0.38333333333333336</v>
      </c>
      <c r="D56" s="10">
        <v>58.0</v>
      </c>
      <c r="E56" s="10">
        <v>1.0</v>
      </c>
      <c r="F56" s="10">
        <v>9.56</v>
      </c>
      <c r="G56" s="10">
        <v>17.09</v>
      </c>
      <c r="H56" s="10">
        <v>10.57</v>
      </c>
      <c r="I56" s="10">
        <v>3.69</v>
      </c>
      <c r="J56" s="10">
        <v>18.8</v>
      </c>
      <c r="K56" s="10">
        <v>1.1</v>
      </c>
    </row>
    <row r="57">
      <c r="A57" s="10">
        <v>170401.0</v>
      </c>
      <c r="B57" s="10">
        <v>3.0</v>
      </c>
      <c r="C57" s="11">
        <v>0.3875</v>
      </c>
      <c r="D57" s="10">
        <v>42.0</v>
      </c>
      <c r="E57" s="10">
        <v>3.0</v>
      </c>
      <c r="F57" s="10">
        <v>13.08</v>
      </c>
      <c r="G57" s="10">
        <v>22.19</v>
      </c>
      <c r="H57" s="10">
        <v>13.24</v>
      </c>
      <c r="I57" s="10">
        <v>16.77</v>
      </c>
      <c r="J57" s="10">
        <v>25.3</v>
      </c>
      <c r="K57" s="10">
        <v>6.7</v>
      </c>
    </row>
    <row r="58">
      <c r="A58" s="10">
        <v>170401.0</v>
      </c>
      <c r="B58" s="10">
        <v>4.0</v>
      </c>
      <c r="C58" s="11">
        <v>0.3923611111111111</v>
      </c>
      <c r="D58" s="10">
        <v>68.0</v>
      </c>
      <c r="E58" s="10">
        <v>2.0</v>
      </c>
      <c r="F58" s="10">
        <v>9.38</v>
      </c>
      <c r="G58" s="10">
        <v>32.32</v>
      </c>
      <c r="H58" s="10">
        <v>21.89</v>
      </c>
      <c r="I58">
        <f>10.3+25.53</f>
        <v>35.83</v>
      </c>
      <c r="J58" s="10">
        <v>31.4</v>
      </c>
      <c r="K58" s="10">
        <v>14.8</v>
      </c>
    </row>
    <row r="59">
      <c r="A59" s="10">
        <v>170401.0</v>
      </c>
      <c r="B59" s="10">
        <v>5.0</v>
      </c>
      <c r="C59" s="11">
        <v>0.3958333333333333</v>
      </c>
      <c r="D59" s="10">
        <v>56.0</v>
      </c>
      <c r="E59" s="10">
        <v>1.0</v>
      </c>
      <c r="F59" s="10">
        <v>9.83</v>
      </c>
      <c r="G59" s="10">
        <v>18.56</v>
      </c>
      <c r="H59" s="10">
        <v>9.86</v>
      </c>
      <c r="I59" s="10">
        <v>8.39</v>
      </c>
      <c r="J59" s="10">
        <v>22.3</v>
      </c>
      <c r="K59" s="10">
        <v>3.7</v>
      </c>
    </row>
    <row r="60">
      <c r="A60" s="10">
        <v>170401.0</v>
      </c>
      <c r="B60" s="10">
        <v>6.0</v>
      </c>
      <c r="C60" s="11">
        <v>0.40208333333333335</v>
      </c>
      <c r="D60" s="10">
        <v>44.0</v>
      </c>
      <c r="E60" s="10">
        <v>3.0</v>
      </c>
      <c r="F60" s="10">
        <v>10.01</v>
      </c>
      <c r="G60" s="10">
        <v>43.59</v>
      </c>
      <c r="H60" s="10">
        <v>23.67</v>
      </c>
      <c r="I60">
        <f>8.4+24.44+21.67</f>
        <v>54.51</v>
      </c>
      <c r="J60" s="10">
        <v>36.2</v>
      </c>
      <c r="K60" s="10">
        <v>20.3</v>
      </c>
    </row>
    <row r="61">
      <c r="A61" s="10">
        <v>170401.0</v>
      </c>
      <c r="B61" s="10">
        <v>7.0</v>
      </c>
      <c r="C61" s="11">
        <v>0.4076388888888889</v>
      </c>
      <c r="D61" s="10">
        <v>67.0</v>
      </c>
      <c r="E61" s="10">
        <v>2.0</v>
      </c>
      <c r="F61" s="10">
        <v>10.72</v>
      </c>
      <c r="G61" s="10">
        <v>31.33</v>
      </c>
      <c r="H61" s="10">
        <v>20.69</v>
      </c>
      <c r="I61">
        <f>23.26+25.49</f>
        <v>48.75</v>
      </c>
      <c r="J61" s="10">
        <v>28.0</v>
      </c>
      <c r="K61" s="10">
        <v>15.5</v>
      </c>
      <c r="M61" s="10" t="s">
        <v>94</v>
      </c>
    </row>
    <row r="62">
      <c r="A62" s="10">
        <v>170401.0</v>
      </c>
      <c r="B62" s="10">
        <v>8.0</v>
      </c>
      <c r="C62" s="11">
        <v>0.41180555555555554</v>
      </c>
      <c r="D62" s="10">
        <v>57.0</v>
      </c>
      <c r="E62" s="10">
        <v>2.0</v>
      </c>
      <c r="F62" s="10">
        <v>10.35</v>
      </c>
      <c r="G62" s="10">
        <v>22.41</v>
      </c>
      <c r="H62" s="10">
        <v>13.59</v>
      </c>
      <c r="I62" s="10">
        <v>15.05</v>
      </c>
      <c r="J62" s="10">
        <v>19.9</v>
      </c>
      <c r="K62" s="10">
        <v>5.1</v>
      </c>
    </row>
    <row r="63">
      <c r="A63" s="10">
        <v>170401.0</v>
      </c>
      <c r="B63" s="10">
        <v>9.0</v>
      </c>
      <c r="C63" s="11">
        <v>0.41597222222222224</v>
      </c>
      <c r="D63" s="10">
        <v>70.0</v>
      </c>
      <c r="E63" s="10">
        <v>2.0</v>
      </c>
      <c r="F63" s="10">
        <v>9.23</v>
      </c>
      <c r="G63" s="10">
        <v>18.08</v>
      </c>
      <c r="H63" s="10">
        <v>10.63</v>
      </c>
      <c r="I63" s="10">
        <v>3.56</v>
      </c>
      <c r="J63" s="10">
        <v>34.1</v>
      </c>
      <c r="K63" s="10">
        <v>1.8</v>
      </c>
    </row>
    <row r="64">
      <c r="A64" s="10">
        <v>170401.0</v>
      </c>
      <c r="B64" s="10">
        <v>10.0</v>
      </c>
      <c r="C64" s="11">
        <v>0.41944444444444445</v>
      </c>
      <c r="D64" s="10">
        <v>43.0</v>
      </c>
      <c r="E64" s="10">
        <v>1.0</v>
      </c>
      <c r="F64" s="10">
        <v>11.66</v>
      </c>
      <c r="G64" s="10">
        <v>21.86</v>
      </c>
      <c r="H64" s="10">
        <v>12.24</v>
      </c>
      <c r="I64" s="10">
        <v>10.02</v>
      </c>
      <c r="J64" s="10">
        <v>18.4</v>
      </c>
      <c r="K64" s="10">
        <v>3.4</v>
      </c>
    </row>
    <row r="65">
      <c r="A65" s="10">
        <v>170401.0</v>
      </c>
      <c r="B65" s="10">
        <v>11.0</v>
      </c>
      <c r="C65" s="11">
        <v>0.425</v>
      </c>
      <c r="D65" s="10">
        <v>40.0</v>
      </c>
      <c r="E65" s="10">
        <v>2.0</v>
      </c>
      <c r="F65" s="10">
        <v>9.96</v>
      </c>
      <c r="G65" s="10">
        <v>36.11</v>
      </c>
      <c r="H65" s="10">
        <v>22.63</v>
      </c>
      <c r="I65">
        <f>15.28+24.59</f>
        <v>39.87</v>
      </c>
      <c r="J65" s="10">
        <v>34.7</v>
      </c>
      <c r="K65" s="10">
        <v>18.6</v>
      </c>
    </row>
    <row r="66">
      <c r="A66" s="10">
        <v>170401.0</v>
      </c>
      <c r="B66" s="10">
        <v>12.0</v>
      </c>
      <c r="C66" s="11">
        <v>0.42916666666666664</v>
      </c>
      <c r="D66" s="10">
        <v>65.0</v>
      </c>
      <c r="E66" s="10">
        <v>2.0</v>
      </c>
      <c r="F66" s="10">
        <v>10.3</v>
      </c>
      <c r="G66" s="10">
        <v>23.27</v>
      </c>
      <c r="H66" s="10">
        <v>13.83</v>
      </c>
      <c r="I66" s="10">
        <v>26.86</v>
      </c>
      <c r="J66" s="10">
        <v>32.2</v>
      </c>
      <c r="K66" s="10">
        <v>13.5</v>
      </c>
    </row>
    <row r="67">
      <c r="A67" s="10">
        <v>170401.0</v>
      </c>
      <c r="B67" s="10">
        <v>13.0</v>
      </c>
      <c r="C67" s="11">
        <v>0.43333333333333335</v>
      </c>
      <c r="D67" s="10">
        <v>69.0</v>
      </c>
      <c r="E67" s="10">
        <v>1.0</v>
      </c>
      <c r="F67" s="10">
        <v>11.16</v>
      </c>
      <c r="G67" s="10">
        <v>20.86</v>
      </c>
      <c r="H67" s="10">
        <v>12.11</v>
      </c>
      <c r="I67" s="10">
        <v>10.38</v>
      </c>
      <c r="J67" s="10">
        <v>36.2</v>
      </c>
      <c r="K67" s="10">
        <v>7.2</v>
      </c>
    </row>
    <row r="68">
      <c r="A68" s="10">
        <v>170401.0</v>
      </c>
      <c r="B68" s="10">
        <v>14.0</v>
      </c>
      <c r="C68" s="11">
        <v>0.43680555555555556</v>
      </c>
      <c r="D68" s="10">
        <v>41.0</v>
      </c>
      <c r="E68" s="10">
        <v>1.0</v>
      </c>
      <c r="F68" s="10">
        <v>9.88</v>
      </c>
      <c r="G68" s="10">
        <v>16.98</v>
      </c>
      <c r="H68" s="10">
        <v>9.12</v>
      </c>
      <c r="I68" s="10">
        <v>5.44</v>
      </c>
      <c r="J68" s="10">
        <v>27.7</v>
      </c>
      <c r="K68" s="10">
        <v>2.5</v>
      </c>
    </row>
    <row r="69">
      <c r="A69" s="10">
        <v>170401.0</v>
      </c>
      <c r="B69" s="10">
        <v>15.0</v>
      </c>
      <c r="C69" s="11">
        <v>0.4409722222222222</v>
      </c>
      <c r="D69" s="10">
        <v>50.0</v>
      </c>
      <c r="E69" s="10">
        <v>1.0</v>
      </c>
      <c r="F69" s="10">
        <v>10.95</v>
      </c>
      <c r="G69" s="10">
        <v>19.31</v>
      </c>
      <c r="H69" s="10">
        <v>9.17</v>
      </c>
      <c r="I69" s="10">
        <v>11.7</v>
      </c>
      <c r="J69" s="10">
        <v>30.6</v>
      </c>
      <c r="K69" s="10">
        <v>5.8</v>
      </c>
    </row>
    <row r="70">
      <c r="A70" s="10">
        <v>170401.0</v>
      </c>
      <c r="B70" s="10">
        <v>16.0</v>
      </c>
      <c r="C70" s="11">
        <v>0.4444444444444444</v>
      </c>
      <c r="D70" s="10">
        <v>63.0</v>
      </c>
      <c r="E70" s="10">
        <v>2.0</v>
      </c>
      <c r="F70" s="10">
        <v>11.23</v>
      </c>
      <c r="G70" s="10">
        <v>21.05</v>
      </c>
      <c r="H70" s="10">
        <v>13.01</v>
      </c>
      <c r="I70" s="10">
        <v>17.63</v>
      </c>
      <c r="J70" s="10">
        <v>25.3</v>
      </c>
      <c r="K70" s="10">
        <v>6.7</v>
      </c>
    </row>
    <row r="71">
      <c r="A71" s="10">
        <v>170401.0</v>
      </c>
      <c r="B71" s="10">
        <v>17.0</v>
      </c>
      <c r="C71" s="11">
        <v>0.4486111111111111</v>
      </c>
      <c r="D71" s="10">
        <v>39.0</v>
      </c>
      <c r="E71" s="10">
        <v>1.0</v>
      </c>
      <c r="F71" s="10">
        <v>9.86</v>
      </c>
      <c r="G71" s="10">
        <v>23.11</v>
      </c>
      <c r="H71" s="10">
        <v>13.29</v>
      </c>
      <c r="I71">
        <f>4.1+22.79</f>
        <v>26.89</v>
      </c>
      <c r="J71" s="10">
        <v>30.7</v>
      </c>
      <c r="K71" s="10">
        <v>10.2</v>
      </c>
    </row>
    <row r="72">
      <c r="A72" s="10">
        <v>170401.0</v>
      </c>
      <c r="B72" s="10">
        <v>18.0</v>
      </c>
      <c r="C72" s="11">
        <v>0.45416666666666666</v>
      </c>
      <c r="D72" s="10">
        <v>59.0</v>
      </c>
      <c r="E72" s="10">
        <v>1.0</v>
      </c>
      <c r="F72" s="10">
        <v>10.38</v>
      </c>
      <c r="G72" s="10">
        <v>18.55</v>
      </c>
      <c r="H72" s="10">
        <v>10.68</v>
      </c>
      <c r="I72" s="10">
        <v>4.83</v>
      </c>
      <c r="J72" s="10">
        <v>19.7</v>
      </c>
      <c r="K72" s="10">
        <v>1.2</v>
      </c>
      <c r="M72" s="10" t="s">
        <v>99</v>
      </c>
    </row>
    <row r="73">
      <c r="A73" s="10">
        <v>170401.0</v>
      </c>
      <c r="B73" s="10">
        <v>19.0</v>
      </c>
      <c r="C73" s="11">
        <v>0.4576388888888889</v>
      </c>
      <c r="D73" s="10">
        <v>45.0</v>
      </c>
      <c r="E73" s="10">
        <v>1.0</v>
      </c>
      <c r="F73" s="10">
        <v>10.68</v>
      </c>
      <c r="G73" s="10">
        <v>24.09</v>
      </c>
      <c r="H73" s="10">
        <v>12.83</v>
      </c>
      <c r="I73" s="10">
        <v>17.12</v>
      </c>
      <c r="J73" s="10">
        <v>28.6</v>
      </c>
      <c r="K73" s="10">
        <v>8.9</v>
      </c>
    </row>
    <row r="74">
      <c r="A74" s="10">
        <v>170401.0</v>
      </c>
      <c r="B74" s="10">
        <v>20.0</v>
      </c>
      <c r="C74" s="11">
        <v>0.4666666666666667</v>
      </c>
      <c r="D74" s="10">
        <v>34.0</v>
      </c>
      <c r="E74" s="10">
        <v>1.0</v>
      </c>
      <c r="F74" s="10">
        <v>10.27</v>
      </c>
      <c r="G74" s="10">
        <v>32.36</v>
      </c>
      <c r="H74" s="10">
        <v>17.7</v>
      </c>
      <c r="I74">
        <f>32+28.2</f>
        <v>60.2</v>
      </c>
      <c r="J74" s="10">
        <v>33.2</v>
      </c>
      <c r="K74" s="10">
        <v>21.0</v>
      </c>
    </row>
    <row r="75">
      <c r="A75" s="10">
        <v>170401.0</v>
      </c>
      <c r="B75" s="10">
        <v>21.0</v>
      </c>
      <c r="C75" s="11">
        <v>0.4701388888888889</v>
      </c>
      <c r="D75" s="10">
        <v>12.0</v>
      </c>
      <c r="E75" s="10">
        <v>1.0</v>
      </c>
      <c r="F75" s="10">
        <v>12.01</v>
      </c>
      <c r="G75" s="10">
        <v>20.42</v>
      </c>
      <c r="H75" s="10">
        <v>11.01</v>
      </c>
      <c r="I75" s="10">
        <v>5.66</v>
      </c>
      <c r="J75" s="10">
        <v>26.0</v>
      </c>
      <c r="K75" s="10">
        <v>2.6</v>
      </c>
    </row>
    <row r="76">
      <c r="A76" s="10">
        <v>170401.0</v>
      </c>
      <c r="B76" s="10">
        <v>22.0</v>
      </c>
      <c r="C76" s="11">
        <v>0.4736111111111111</v>
      </c>
      <c r="D76" s="10">
        <v>17.0</v>
      </c>
      <c r="E76" s="10">
        <v>2.0</v>
      </c>
      <c r="F76" s="10">
        <v>9.08</v>
      </c>
      <c r="G76" s="10">
        <v>25.98</v>
      </c>
      <c r="H76" s="10">
        <v>18.0</v>
      </c>
      <c r="I76" s="10">
        <v>21.83</v>
      </c>
      <c r="J76" s="10">
        <v>17.2</v>
      </c>
      <c r="K76" s="10">
        <v>6.2</v>
      </c>
      <c r="M76" s="10" t="s">
        <v>94</v>
      </c>
    </row>
    <row r="77">
      <c r="A77" s="10">
        <v>170401.0</v>
      </c>
      <c r="B77" s="10">
        <v>23.0</v>
      </c>
      <c r="C77" s="11">
        <v>0.4777777777777778</v>
      </c>
      <c r="D77" s="10">
        <v>15.0</v>
      </c>
      <c r="E77" s="10">
        <v>1.0</v>
      </c>
      <c r="F77" s="10">
        <v>10.23</v>
      </c>
      <c r="G77" s="10">
        <v>19.47</v>
      </c>
      <c r="H77" s="10">
        <v>10.5</v>
      </c>
      <c r="I77" s="10">
        <v>18.29</v>
      </c>
      <c r="J77" s="10">
        <v>33.2</v>
      </c>
      <c r="K77" s="10">
        <v>11.0</v>
      </c>
    </row>
    <row r="78">
      <c r="A78" s="10">
        <v>170401.0</v>
      </c>
      <c r="B78" s="10">
        <v>24.0</v>
      </c>
      <c r="C78" s="11">
        <v>0.4826388888888889</v>
      </c>
      <c r="D78" s="10">
        <v>31.0</v>
      </c>
      <c r="E78" s="10">
        <v>1.0</v>
      </c>
      <c r="F78" s="10">
        <v>10.05</v>
      </c>
      <c r="G78" s="10">
        <v>34.55</v>
      </c>
      <c r="H78" s="10">
        <v>21.26</v>
      </c>
      <c r="I78">
        <f>28.83+32</f>
        <v>60.83</v>
      </c>
      <c r="J78" s="10">
        <v>32.2</v>
      </c>
      <c r="K78" s="10">
        <v>17.8</v>
      </c>
    </row>
    <row r="79">
      <c r="A79" s="10">
        <v>170401.0</v>
      </c>
      <c r="B79" s="10">
        <v>25.0</v>
      </c>
      <c r="C79" s="11">
        <v>0.4861111111111111</v>
      </c>
      <c r="D79" s="10">
        <v>9.0</v>
      </c>
      <c r="E79" s="10">
        <v>2.0</v>
      </c>
      <c r="F79" s="10">
        <v>10.55</v>
      </c>
      <c r="G79" s="10">
        <v>19.32</v>
      </c>
      <c r="H79" s="10">
        <v>11.24</v>
      </c>
      <c r="I79" s="10">
        <v>7.04</v>
      </c>
      <c r="J79" s="10">
        <v>29.7</v>
      </c>
      <c r="K79" s="10">
        <v>4.4</v>
      </c>
    </row>
    <row r="80">
      <c r="A80" s="10">
        <v>170401.0</v>
      </c>
      <c r="B80" s="10">
        <v>26.0</v>
      </c>
      <c r="C80" s="11">
        <v>0.4909722222222222</v>
      </c>
      <c r="D80" s="10">
        <v>6.0</v>
      </c>
      <c r="E80" s="10">
        <v>2.0</v>
      </c>
      <c r="F80" s="10">
        <v>11.72</v>
      </c>
      <c r="G80" s="10">
        <v>22.55</v>
      </c>
      <c r="H80" s="10">
        <v>13.08</v>
      </c>
      <c r="I80" s="10">
        <v>15.79</v>
      </c>
      <c r="J80" s="10">
        <v>28.8</v>
      </c>
      <c r="K80" s="10">
        <v>7.9</v>
      </c>
    </row>
    <row r="81">
      <c r="A81" s="10">
        <v>170401.0</v>
      </c>
      <c r="B81" s="10">
        <v>27.0</v>
      </c>
      <c r="C81" s="11">
        <v>0.4930555555555556</v>
      </c>
      <c r="D81" s="10">
        <v>5.0</v>
      </c>
      <c r="E81" s="10">
        <v>1.0</v>
      </c>
      <c r="F81" s="10">
        <v>12.76</v>
      </c>
      <c r="G81" s="10">
        <v>21.59</v>
      </c>
      <c r="H81" s="10">
        <v>14.04</v>
      </c>
      <c r="I81" s="10">
        <v>0.0</v>
      </c>
      <c r="J81" s="10">
        <v>0.0</v>
      </c>
      <c r="K81" s="10">
        <v>0.0</v>
      </c>
      <c r="M81" s="10" t="s">
        <v>101</v>
      </c>
    </row>
    <row r="82">
      <c r="A82" s="10">
        <v>170401.0</v>
      </c>
      <c r="B82" s="10">
        <v>28.0</v>
      </c>
      <c r="C82" s="11">
        <v>0.4979166666666667</v>
      </c>
      <c r="D82" s="10">
        <v>23.0</v>
      </c>
      <c r="E82" s="10">
        <v>2.0</v>
      </c>
      <c r="F82" s="10">
        <v>10.16</v>
      </c>
      <c r="G82" s="10">
        <v>18.02</v>
      </c>
      <c r="H82" s="10">
        <v>8.59</v>
      </c>
      <c r="I82" s="10">
        <v>8.89</v>
      </c>
      <c r="J82" s="10">
        <v>24.2</v>
      </c>
      <c r="K82" s="10">
        <v>4.8</v>
      </c>
    </row>
    <row r="83">
      <c r="A83" s="10">
        <v>170402.0</v>
      </c>
      <c r="B83" s="10">
        <v>1.0</v>
      </c>
      <c r="C83" s="11">
        <v>0.37916666666666665</v>
      </c>
      <c r="D83" s="10">
        <v>26.0</v>
      </c>
      <c r="E83" s="10">
        <v>2.0</v>
      </c>
      <c r="F83" s="10">
        <v>9.7</v>
      </c>
      <c r="G83" s="10">
        <v>20.51</v>
      </c>
      <c r="H83" s="10">
        <v>11.78</v>
      </c>
      <c r="I83" s="10">
        <v>6.0</v>
      </c>
      <c r="J83" s="10">
        <v>22.2</v>
      </c>
      <c r="K83" s="10">
        <v>2.6</v>
      </c>
      <c r="M83" s="10" t="s">
        <v>103</v>
      </c>
    </row>
    <row r="84">
      <c r="A84" s="10">
        <v>170402.0</v>
      </c>
      <c r="B84" s="10">
        <v>2.0</v>
      </c>
      <c r="C84" s="11">
        <v>0.38263888888888886</v>
      </c>
      <c r="D84" s="10">
        <v>10.0</v>
      </c>
      <c r="E84" s="10">
        <v>1.0</v>
      </c>
      <c r="F84" s="10">
        <v>11.7</v>
      </c>
      <c r="G84" s="10">
        <v>19.92</v>
      </c>
      <c r="H84" s="10">
        <v>12.67</v>
      </c>
      <c r="I84" s="10">
        <v>13.12</v>
      </c>
      <c r="J84" s="10">
        <v>21.2</v>
      </c>
      <c r="K84" s="10">
        <v>4.3</v>
      </c>
    </row>
    <row r="85">
      <c r="A85" s="10">
        <v>170402.0</v>
      </c>
      <c r="B85" s="10">
        <v>3.0</v>
      </c>
      <c r="C85" s="11">
        <v>0.3861111111111111</v>
      </c>
      <c r="D85" s="10">
        <v>89.0</v>
      </c>
      <c r="E85" s="10">
        <v>1.0</v>
      </c>
      <c r="F85" s="10">
        <v>12.24</v>
      </c>
      <c r="G85" s="10">
        <v>24.36</v>
      </c>
      <c r="H85" s="10">
        <v>13.61</v>
      </c>
      <c r="I85" s="10">
        <v>9.77</v>
      </c>
      <c r="J85" s="10">
        <v>26.8</v>
      </c>
      <c r="K85" s="10">
        <v>4.8</v>
      </c>
    </row>
    <row r="86">
      <c r="A86" s="10">
        <v>170402.0</v>
      </c>
      <c r="B86" s="10">
        <v>4.0</v>
      </c>
      <c r="C86" s="11">
        <v>0.3888888888888889</v>
      </c>
      <c r="D86" s="10">
        <v>71.0</v>
      </c>
      <c r="E86" s="10">
        <v>1.0</v>
      </c>
      <c r="F86" s="10">
        <v>12.0</v>
      </c>
      <c r="G86" s="10">
        <v>20.7</v>
      </c>
      <c r="H86" s="10">
        <v>12.89</v>
      </c>
      <c r="I86" s="10">
        <v>8.36</v>
      </c>
      <c r="J86" s="10">
        <v>18.1</v>
      </c>
      <c r="K86" s="10">
        <v>2.7</v>
      </c>
    </row>
    <row r="87">
      <c r="A87" s="10">
        <v>170402.0</v>
      </c>
      <c r="B87" s="10">
        <v>5.0</v>
      </c>
      <c r="C87" s="11">
        <v>0.3923611111111111</v>
      </c>
      <c r="D87" s="10">
        <v>79.0</v>
      </c>
      <c r="E87" s="10">
        <v>1.0</v>
      </c>
      <c r="F87" s="10">
        <v>10.89</v>
      </c>
      <c r="G87" s="10">
        <v>21.1</v>
      </c>
      <c r="H87" s="10">
        <v>12.39</v>
      </c>
      <c r="I87" s="10">
        <v>14.08</v>
      </c>
      <c r="J87" s="10">
        <v>21.3</v>
      </c>
      <c r="K87" s="10">
        <v>5.0</v>
      </c>
    </row>
    <row r="88">
      <c r="A88" s="10">
        <v>170402.0</v>
      </c>
      <c r="B88" s="10">
        <v>6.0</v>
      </c>
      <c r="C88" s="11">
        <v>0.39791666666666664</v>
      </c>
      <c r="D88" s="10">
        <v>80.0</v>
      </c>
      <c r="E88" s="10">
        <v>1.0</v>
      </c>
      <c r="F88" s="10">
        <v>10.8</v>
      </c>
      <c r="G88" s="10">
        <v>21.5</v>
      </c>
      <c r="H88" s="10">
        <v>11.7</v>
      </c>
      <c r="I88" s="10">
        <v>2.53</v>
      </c>
      <c r="J88" s="10">
        <v>15.3</v>
      </c>
      <c r="K88" s="10">
        <v>0.5</v>
      </c>
    </row>
    <row r="89">
      <c r="A89" s="10">
        <v>170402.0</v>
      </c>
      <c r="B89" s="10">
        <v>7.0</v>
      </c>
      <c r="C89" s="11">
        <v>0.40069444444444446</v>
      </c>
      <c r="D89" s="10">
        <v>93.0</v>
      </c>
      <c r="E89" s="10">
        <v>1.0</v>
      </c>
      <c r="F89" s="10">
        <v>11.81</v>
      </c>
      <c r="G89" s="10">
        <v>22.57</v>
      </c>
      <c r="I89" s="10">
        <v>12.47</v>
      </c>
      <c r="J89" s="10">
        <v>19.3</v>
      </c>
      <c r="K89" s="10">
        <v>4.2</v>
      </c>
    </row>
    <row r="90">
      <c r="A90" s="10">
        <v>170402.0</v>
      </c>
      <c r="B90" s="10">
        <v>8.0</v>
      </c>
      <c r="C90" s="11">
        <v>0.4041666666666667</v>
      </c>
      <c r="D90" s="10">
        <v>117.0</v>
      </c>
      <c r="E90" s="10">
        <v>1.0</v>
      </c>
      <c r="F90" s="10">
        <v>11.15</v>
      </c>
      <c r="G90" s="10">
        <v>24.1</v>
      </c>
      <c r="H90" s="10">
        <v>13.83</v>
      </c>
      <c r="I90" s="10">
        <v>12.48</v>
      </c>
      <c r="J90" s="10">
        <v>20.8</v>
      </c>
      <c r="K90" s="10">
        <v>3.9</v>
      </c>
    </row>
    <row r="91">
      <c r="A91" s="10">
        <v>170402.0</v>
      </c>
      <c r="B91" s="10">
        <v>9.0</v>
      </c>
      <c r="C91" s="11">
        <v>0.4076388888888889</v>
      </c>
      <c r="D91" s="10">
        <v>29.0</v>
      </c>
      <c r="E91" s="10">
        <v>1.0</v>
      </c>
      <c r="F91" s="10">
        <v>10.22</v>
      </c>
      <c r="G91" s="10">
        <v>20.7</v>
      </c>
      <c r="H91" s="10">
        <v>11.14</v>
      </c>
      <c r="I91" s="10">
        <v>15.41</v>
      </c>
      <c r="J91" s="10">
        <v>20.0</v>
      </c>
      <c r="K91" s="10">
        <v>5.6</v>
      </c>
    </row>
    <row r="92">
      <c r="A92" s="10">
        <v>170402.0</v>
      </c>
      <c r="B92" s="10">
        <v>10.0</v>
      </c>
      <c r="C92" s="11">
        <v>0.41944444444444445</v>
      </c>
      <c r="D92" s="10">
        <v>46.0</v>
      </c>
      <c r="E92" s="10">
        <v>2.0</v>
      </c>
      <c r="F92" s="10">
        <v>8.55</v>
      </c>
      <c r="G92" s="10">
        <v>14.49</v>
      </c>
      <c r="H92" s="10">
        <v>9.39</v>
      </c>
      <c r="I92" s="10">
        <v>0.0</v>
      </c>
      <c r="J92" s="10">
        <v>0.0</v>
      </c>
      <c r="K92" s="10">
        <v>0.0</v>
      </c>
      <c r="M92" s="10" t="s">
        <v>105</v>
      </c>
    </row>
    <row r="93">
      <c r="A93" s="10">
        <v>170402.0</v>
      </c>
      <c r="B93" s="10">
        <v>11.0</v>
      </c>
      <c r="C93" s="11">
        <v>0.425</v>
      </c>
      <c r="D93" s="10">
        <v>31.0</v>
      </c>
      <c r="E93" s="10">
        <v>2.0</v>
      </c>
      <c r="F93" s="10">
        <v>9.62</v>
      </c>
      <c r="G93" s="10">
        <v>32.47</v>
      </c>
      <c r="H93" s="10">
        <v>20.98</v>
      </c>
      <c r="I93">
        <f>32+17.25</f>
        <v>49.25</v>
      </c>
      <c r="J93" s="10">
        <v>29.8</v>
      </c>
      <c r="K93" s="10">
        <v>15.6</v>
      </c>
      <c r="M93" s="10" t="s">
        <v>106</v>
      </c>
    </row>
    <row r="94">
      <c r="A94" s="10">
        <v>170402.0</v>
      </c>
      <c r="B94" s="10">
        <v>12.0</v>
      </c>
      <c r="C94" s="11">
        <v>0.4305555555555556</v>
      </c>
      <c r="D94" s="10">
        <v>86.0</v>
      </c>
      <c r="E94" s="10">
        <v>3.0</v>
      </c>
      <c r="F94" s="10">
        <v>11.97</v>
      </c>
      <c r="G94" s="10">
        <v>21.51</v>
      </c>
      <c r="H94" s="10">
        <v>11.11</v>
      </c>
      <c r="I94" s="10">
        <v>22.75</v>
      </c>
      <c r="J94" s="10">
        <v>26.2</v>
      </c>
      <c r="K94" s="10">
        <v>9.5</v>
      </c>
    </row>
    <row r="95">
      <c r="A95" s="10">
        <v>170402.0</v>
      </c>
      <c r="B95" s="10">
        <v>13.0</v>
      </c>
      <c r="C95" s="11">
        <v>0.4340277777777778</v>
      </c>
      <c r="D95" s="10">
        <v>78.0</v>
      </c>
      <c r="E95" s="10">
        <v>2.0</v>
      </c>
      <c r="F95" s="10">
        <v>11.29</v>
      </c>
      <c r="G95" s="10">
        <v>20.62</v>
      </c>
      <c r="H95" s="10">
        <v>11.7</v>
      </c>
      <c r="I95" s="10">
        <v>13.44</v>
      </c>
      <c r="J95" s="10">
        <v>22.3</v>
      </c>
      <c r="K95" s="10">
        <v>5.2</v>
      </c>
    </row>
    <row r="96">
      <c r="A96" s="10">
        <v>170402.0</v>
      </c>
      <c r="B96" s="10">
        <v>14.0</v>
      </c>
      <c r="C96" s="11">
        <v>0.4375</v>
      </c>
      <c r="D96" s="10">
        <v>101.0</v>
      </c>
      <c r="E96" s="10">
        <v>1.0</v>
      </c>
      <c r="F96" s="10">
        <v>11.17</v>
      </c>
      <c r="G96" s="10">
        <v>23.11</v>
      </c>
      <c r="H96" s="10">
        <v>13.72</v>
      </c>
      <c r="I96" s="10">
        <v>19.26</v>
      </c>
      <c r="J96" s="10">
        <v>24.0</v>
      </c>
      <c r="K96" s="10">
        <v>7.2</v>
      </c>
    </row>
    <row r="97">
      <c r="A97" s="10">
        <v>170402.0</v>
      </c>
      <c r="B97" s="10">
        <v>15.0</v>
      </c>
      <c r="C97" s="11">
        <v>0.44305555555555554</v>
      </c>
      <c r="D97" s="10">
        <v>94.0</v>
      </c>
      <c r="E97" s="10">
        <v>2.0</v>
      </c>
      <c r="F97" s="10">
        <v>10.8</v>
      </c>
      <c r="G97" s="10">
        <v>20.6</v>
      </c>
      <c r="H97" s="10">
        <v>12.77</v>
      </c>
      <c r="I97" s="10">
        <v>18.71</v>
      </c>
      <c r="J97" s="10">
        <v>22.1</v>
      </c>
      <c r="K97" s="10">
        <v>7.0</v>
      </c>
    </row>
    <row r="98">
      <c r="A98" s="10">
        <v>170402.0</v>
      </c>
      <c r="B98" s="10">
        <v>16.0</v>
      </c>
      <c r="C98" s="11">
        <v>0.44722222222222224</v>
      </c>
      <c r="D98" s="10">
        <v>102.0</v>
      </c>
      <c r="E98" s="10">
        <v>1.0</v>
      </c>
      <c r="F98" s="10">
        <v>9.74</v>
      </c>
      <c r="G98" s="10">
        <v>36.55</v>
      </c>
      <c r="H98" s="10">
        <v>22.72</v>
      </c>
      <c r="I98">
        <f>32+18.51</f>
        <v>50.51</v>
      </c>
      <c r="J98" s="10">
        <v>34.0</v>
      </c>
      <c r="K98" s="10">
        <v>18.4</v>
      </c>
    </row>
    <row r="99">
      <c r="A99" s="10">
        <v>170402.0</v>
      </c>
      <c r="B99" s="10">
        <v>17.0</v>
      </c>
      <c r="C99" s="11">
        <v>0.45069444444444445</v>
      </c>
      <c r="D99" s="10">
        <v>81.0</v>
      </c>
      <c r="E99" s="10">
        <v>3.0</v>
      </c>
      <c r="F99" s="10">
        <v>11.68</v>
      </c>
      <c r="G99" s="10">
        <v>21.23</v>
      </c>
      <c r="H99" s="10">
        <v>11.76</v>
      </c>
      <c r="I99" s="10">
        <v>9.41</v>
      </c>
      <c r="J99" s="10">
        <v>24.2</v>
      </c>
      <c r="K99" s="10">
        <v>4.0</v>
      </c>
    </row>
    <row r="100">
      <c r="A100" s="10">
        <v>170402.0</v>
      </c>
      <c r="B100" s="10">
        <v>18.0</v>
      </c>
      <c r="C100" s="11">
        <v>0.45555555555555555</v>
      </c>
      <c r="D100" s="10">
        <v>84.0</v>
      </c>
      <c r="E100" s="10">
        <v>1.0</v>
      </c>
      <c r="F100" s="10">
        <v>13.29</v>
      </c>
      <c r="G100" s="10">
        <v>23.82</v>
      </c>
      <c r="H100" s="10">
        <v>13.24</v>
      </c>
      <c r="I100" s="10">
        <v>22.56</v>
      </c>
      <c r="J100" s="10">
        <v>20.5</v>
      </c>
      <c r="K100" s="10">
        <v>7.7</v>
      </c>
    </row>
    <row r="101">
      <c r="A101" s="10">
        <v>170402.0</v>
      </c>
      <c r="B101" s="10">
        <v>19.0</v>
      </c>
      <c r="C101" s="11">
        <v>0.4618055555555556</v>
      </c>
      <c r="D101" s="10">
        <v>88.0</v>
      </c>
      <c r="E101" s="10">
        <v>1.0</v>
      </c>
      <c r="F101" s="10">
        <v>11.41</v>
      </c>
      <c r="G101" s="10">
        <v>24.1</v>
      </c>
      <c r="H101" s="10">
        <v>12.58</v>
      </c>
      <c r="I101">
        <f>11.4-0.53-0.47</f>
        <v>10.4</v>
      </c>
      <c r="J101" s="10">
        <v>23.3</v>
      </c>
      <c r="K101" s="10">
        <v>3.6</v>
      </c>
      <c r="M101" s="10" t="s">
        <v>108</v>
      </c>
    </row>
    <row r="102">
      <c r="A102" s="10">
        <v>170402.0</v>
      </c>
      <c r="B102" s="10">
        <v>20.0</v>
      </c>
      <c r="C102" s="11">
        <v>0.46944444444444444</v>
      </c>
      <c r="D102" s="10">
        <v>74.0</v>
      </c>
      <c r="E102" s="10">
        <v>2.0</v>
      </c>
      <c r="F102" s="10">
        <v>10.72</v>
      </c>
      <c r="G102" s="10">
        <v>20.35</v>
      </c>
      <c r="H102" s="10">
        <v>11.44</v>
      </c>
      <c r="I102" s="10">
        <v>18.93</v>
      </c>
      <c r="J102" s="10">
        <v>22.2</v>
      </c>
      <c r="K102" s="10">
        <v>7.0</v>
      </c>
    </row>
    <row r="103">
      <c r="A103" s="10">
        <v>170402.0</v>
      </c>
      <c r="B103" s="10">
        <v>21.0</v>
      </c>
      <c r="C103" s="11">
        <v>0.47291666666666665</v>
      </c>
      <c r="D103" s="10">
        <v>90.0</v>
      </c>
      <c r="E103" s="10">
        <v>1.0</v>
      </c>
      <c r="F103" s="10">
        <v>10.87</v>
      </c>
      <c r="G103" s="10">
        <v>20.29</v>
      </c>
      <c r="H103" s="10">
        <v>12.19</v>
      </c>
      <c r="I103" s="10">
        <v>11.03</v>
      </c>
      <c r="J103" s="10">
        <v>19.8</v>
      </c>
      <c r="K103" s="10">
        <v>3.6</v>
      </c>
      <c r="M103" s="10" t="s">
        <v>109</v>
      </c>
    </row>
    <row r="104">
      <c r="A104" s="10">
        <v>170402.0</v>
      </c>
      <c r="B104" s="10">
        <v>22.0</v>
      </c>
      <c r="C104" s="11">
        <v>0.4798611111111111</v>
      </c>
      <c r="D104" s="10">
        <v>45.0</v>
      </c>
      <c r="E104" s="10">
        <v>1.0</v>
      </c>
      <c r="F104" s="10">
        <v>10.28</v>
      </c>
      <c r="G104" s="10">
        <v>19.95</v>
      </c>
      <c r="H104" s="10">
        <v>12.77</v>
      </c>
      <c r="I104" s="10">
        <v>9.12</v>
      </c>
      <c r="J104" s="10">
        <v>19.0</v>
      </c>
      <c r="K104" s="10">
        <v>2.4</v>
      </c>
    </row>
    <row r="105">
      <c r="A105" s="10">
        <v>170402.0</v>
      </c>
      <c r="B105" s="10">
        <v>23.0</v>
      </c>
      <c r="C105" s="11">
        <v>0.4840277777777778</v>
      </c>
      <c r="D105" s="10">
        <v>16.0</v>
      </c>
      <c r="E105" s="10">
        <v>1.0</v>
      </c>
      <c r="F105" s="10">
        <v>10.98</v>
      </c>
      <c r="G105" s="10">
        <v>22.51</v>
      </c>
      <c r="H105" s="10">
        <v>12.2</v>
      </c>
      <c r="I105" s="10">
        <v>29.13</v>
      </c>
      <c r="J105" s="10">
        <v>21.1</v>
      </c>
      <c r="K105" s="10">
        <v>9.1</v>
      </c>
    </row>
    <row r="106">
      <c r="A106" s="10">
        <v>170402.0</v>
      </c>
      <c r="B106" s="10">
        <v>24.0</v>
      </c>
      <c r="C106" s="11">
        <v>0.4875</v>
      </c>
      <c r="D106" s="10">
        <v>12.0</v>
      </c>
      <c r="E106" s="10">
        <v>1.0</v>
      </c>
      <c r="F106" s="10">
        <v>11.94</v>
      </c>
      <c r="G106" s="10">
        <v>21.08</v>
      </c>
      <c r="H106" s="10">
        <v>11.06</v>
      </c>
      <c r="I106" s="10">
        <v>6.41</v>
      </c>
      <c r="J106" s="10">
        <v>15.7</v>
      </c>
      <c r="K106" s="10">
        <v>1.2</v>
      </c>
    </row>
    <row r="107">
      <c r="A107" s="10">
        <v>170402.0</v>
      </c>
      <c r="B107" s="10">
        <v>25.0</v>
      </c>
      <c r="C107" s="11">
        <v>0.49027777777777776</v>
      </c>
      <c r="D107" s="10">
        <v>18.0</v>
      </c>
      <c r="E107" s="10">
        <v>1.0</v>
      </c>
      <c r="F107" s="10">
        <v>11.08</v>
      </c>
      <c r="G107" s="10">
        <v>18.09</v>
      </c>
      <c r="H107" s="10">
        <v>10.8</v>
      </c>
      <c r="I107" s="10">
        <v>1.81</v>
      </c>
      <c r="J107" s="10">
        <v>13.0</v>
      </c>
      <c r="K107" s="10">
        <v>0.0</v>
      </c>
    </row>
    <row r="108">
      <c r="A108" s="10">
        <v>170402.0</v>
      </c>
      <c r="B108" s="10">
        <v>26.0</v>
      </c>
      <c r="C108" s="11">
        <v>0.49375</v>
      </c>
      <c r="D108" s="10">
        <v>21.0</v>
      </c>
      <c r="E108" s="10">
        <v>1.0</v>
      </c>
      <c r="F108" s="10">
        <v>10.97</v>
      </c>
      <c r="G108" s="10">
        <v>19.93</v>
      </c>
      <c r="H108" s="10">
        <v>12.33</v>
      </c>
      <c r="I108" s="10">
        <v>14.06</v>
      </c>
      <c r="J108" s="10">
        <v>18.6</v>
      </c>
      <c r="K108" s="10">
        <v>4.8</v>
      </c>
    </row>
    <row r="109">
      <c r="A109" s="10">
        <v>170402.0</v>
      </c>
      <c r="B109" s="10">
        <v>27.0</v>
      </c>
      <c r="C109" s="11">
        <v>0.4965277777777778</v>
      </c>
      <c r="D109" s="10">
        <v>57.0</v>
      </c>
      <c r="E109" s="10">
        <v>1.0</v>
      </c>
      <c r="F109" s="10">
        <v>10.93</v>
      </c>
      <c r="G109" s="10">
        <v>21.14</v>
      </c>
      <c r="H109" s="10">
        <v>13.6</v>
      </c>
      <c r="I109" s="10">
        <v>11.32</v>
      </c>
      <c r="J109" s="10">
        <v>31.4</v>
      </c>
      <c r="K109" s="10">
        <v>7.6</v>
      </c>
    </row>
    <row r="110">
      <c r="A110" s="10">
        <v>170403.0</v>
      </c>
      <c r="B110" s="10">
        <v>1.0</v>
      </c>
      <c r="C110" s="11">
        <v>0.4111111111111111</v>
      </c>
      <c r="D110" s="10">
        <v>68.0</v>
      </c>
      <c r="E110" s="10">
        <v>5.0</v>
      </c>
      <c r="F110" s="10">
        <v>9.82</v>
      </c>
      <c r="G110" s="10">
        <v>28.94</v>
      </c>
      <c r="H110" s="10">
        <v>21.63</v>
      </c>
      <c r="I110">
        <f>64+13.72</f>
        <v>77.72</v>
      </c>
      <c r="J110" s="10">
        <v>9.1</v>
      </c>
      <c r="K110" s="10">
        <v>5.5</v>
      </c>
      <c r="M110" s="10" t="s">
        <v>112</v>
      </c>
      <c r="N110" s="10" t="s">
        <v>113</v>
      </c>
    </row>
    <row r="111">
      <c r="A111" s="10">
        <v>170403.0</v>
      </c>
      <c r="B111" s="10">
        <v>2.0</v>
      </c>
      <c r="C111" s="11">
        <v>0.41597222222222224</v>
      </c>
      <c r="D111" s="10">
        <v>44.0</v>
      </c>
      <c r="E111" s="10">
        <v>1.0</v>
      </c>
      <c r="F111" s="10">
        <v>9.76</v>
      </c>
      <c r="G111" s="10">
        <v>42.13</v>
      </c>
      <c r="H111" s="10">
        <v>23.41</v>
      </c>
      <c r="I111">
        <f>64+11.58</f>
        <v>75.58</v>
      </c>
      <c r="J111" s="10">
        <v>37.0</v>
      </c>
    </row>
    <row r="112">
      <c r="A112" s="10">
        <v>170403.0</v>
      </c>
      <c r="B112" s="10">
        <v>3.0</v>
      </c>
      <c r="C112" s="11">
        <v>0.4215277777777778</v>
      </c>
      <c r="D112" s="10">
        <v>14.0</v>
      </c>
      <c r="E112" s="10">
        <v>2.0</v>
      </c>
      <c r="F112" s="10">
        <v>9.53</v>
      </c>
      <c r="G112" s="10">
        <v>38.75</v>
      </c>
      <c r="H112" s="10">
        <v>23.19</v>
      </c>
      <c r="I112">
        <f>64+16.54</f>
        <v>80.54</v>
      </c>
      <c r="J112" s="10">
        <v>34.2</v>
      </c>
      <c r="K112" s="10">
        <v>23.0</v>
      </c>
    </row>
    <row r="113">
      <c r="A113" s="10">
        <v>170404.0</v>
      </c>
      <c r="B113" s="10">
        <v>1.0</v>
      </c>
      <c r="C113" s="11">
        <v>0.37222222222222223</v>
      </c>
      <c r="D113" s="10">
        <v>52.0</v>
      </c>
      <c r="E113" s="10">
        <v>3.0</v>
      </c>
      <c r="F113" s="10">
        <v>10.5</v>
      </c>
      <c r="G113" s="10">
        <v>21.33</v>
      </c>
      <c r="H113" s="10">
        <v>10.7</v>
      </c>
      <c r="I113" s="10">
        <v>15.28</v>
      </c>
      <c r="J113" s="10">
        <v>19.3</v>
      </c>
      <c r="K113" s="10">
        <v>5.0</v>
      </c>
      <c r="M113" s="10" t="s">
        <v>116</v>
      </c>
    </row>
    <row r="114">
      <c r="A114" s="10">
        <v>170404.0</v>
      </c>
      <c r="B114" s="10">
        <v>2.0</v>
      </c>
      <c r="C114" s="11">
        <v>0.3770833333333333</v>
      </c>
      <c r="D114" s="10">
        <v>80.0</v>
      </c>
      <c r="E114" s="10">
        <v>1.0</v>
      </c>
      <c r="F114" s="10">
        <v>11.46</v>
      </c>
      <c r="G114" s="10">
        <v>20.37</v>
      </c>
      <c r="H114" s="10">
        <v>11.55</v>
      </c>
      <c r="I114" s="10">
        <v>9.11</v>
      </c>
      <c r="J114" s="10">
        <v>20.2</v>
      </c>
      <c r="K114" s="10">
        <v>3.6</v>
      </c>
    </row>
    <row r="115">
      <c r="A115" s="10">
        <v>170404.0</v>
      </c>
      <c r="B115" s="10">
        <v>3.0</v>
      </c>
      <c r="C115" s="11">
        <v>0.38263888888888886</v>
      </c>
      <c r="D115" s="10">
        <v>94.0</v>
      </c>
      <c r="E115" s="10">
        <v>1.0</v>
      </c>
      <c r="F115" s="10">
        <v>12.55</v>
      </c>
      <c r="G115" s="10">
        <v>22.56</v>
      </c>
      <c r="H115" s="10">
        <v>13.76</v>
      </c>
      <c r="I115" s="10">
        <v>15.8</v>
      </c>
      <c r="J115" s="10">
        <v>26.2</v>
      </c>
      <c r="K115" s="10">
        <v>7.7</v>
      </c>
    </row>
    <row r="116">
      <c r="A116" s="10">
        <v>170404.0</v>
      </c>
      <c r="B116" s="10">
        <v>4.0</v>
      </c>
      <c r="C116" s="11">
        <v>0.38819444444444445</v>
      </c>
      <c r="D116" s="10">
        <v>115.0</v>
      </c>
      <c r="E116" s="10">
        <v>1.0</v>
      </c>
      <c r="F116" s="10">
        <v>11.5</v>
      </c>
      <c r="G116" s="10">
        <v>24.41</v>
      </c>
      <c r="H116" s="10">
        <v>13.56</v>
      </c>
      <c r="I116" s="10">
        <v>15.05</v>
      </c>
      <c r="J116" s="10">
        <v>22.8</v>
      </c>
    </row>
    <row r="117">
      <c r="A117" s="10">
        <v>170404.0</v>
      </c>
      <c r="B117" s="10">
        <v>5.0</v>
      </c>
      <c r="C117" s="11">
        <v>0.39305555555555555</v>
      </c>
      <c r="D117" s="10">
        <v>78.0</v>
      </c>
      <c r="E117" s="10">
        <v>1.0</v>
      </c>
      <c r="F117" s="10">
        <v>11.32</v>
      </c>
      <c r="G117" s="10">
        <v>19.93</v>
      </c>
      <c r="H117" s="10">
        <v>12.72</v>
      </c>
      <c r="I117" s="10">
        <v>5.84</v>
      </c>
      <c r="J117" s="10">
        <v>18.8</v>
      </c>
      <c r="K117" s="10">
        <v>2.1</v>
      </c>
    </row>
    <row r="118">
      <c r="A118" s="10">
        <v>170404.0</v>
      </c>
      <c r="B118" s="10">
        <v>6.0</v>
      </c>
      <c r="C118" s="11">
        <v>0.39791666666666664</v>
      </c>
      <c r="D118" s="10">
        <v>100.0</v>
      </c>
      <c r="E118" s="10">
        <v>2.0</v>
      </c>
      <c r="F118" s="10">
        <v>12.32</v>
      </c>
      <c r="G118" s="10">
        <v>20.96</v>
      </c>
      <c r="H118" s="10">
        <v>11.63</v>
      </c>
      <c r="I118" s="10">
        <v>19.1</v>
      </c>
      <c r="J118" s="10">
        <v>23.2</v>
      </c>
      <c r="K118" s="10">
        <v>7.8</v>
      </c>
    </row>
    <row r="119">
      <c r="A119" s="10">
        <v>170404.0</v>
      </c>
      <c r="B119" s="10">
        <v>7.0</v>
      </c>
      <c r="C119" s="11">
        <v>0.4027777777777778</v>
      </c>
      <c r="D119" s="10">
        <v>113.0</v>
      </c>
      <c r="E119" s="10">
        <v>1.0</v>
      </c>
      <c r="F119" s="10">
        <v>11.51</v>
      </c>
      <c r="G119" s="10">
        <v>21.07</v>
      </c>
      <c r="H119" s="10">
        <v>11.5</v>
      </c>
      <c r="I119" s="10">
        <v>12.52</v>
      </c>
      <c r="J119" s="10">
        <v>19.4</v>
      </c>
      <c r="K119" s="10">
        <v>4.6</v>
      </c>
    </row>
    <row r="120">
      <c r="A120" s="10">
        <v>170404.0</v>
      </c>
      <c r="B120" s="10">
        <v>8.0</v>
      </c>
      <c r="C120" s="11">
        <v>0.40625</v>
      </c>
      <c r="D120" s="10">
        <v>46.0</v>
      </c>
      <c r="E120" s="10">
        <v>3.0</v>
      </c>
      <c r="F120" s="10">
        <v>9.85</v>
      </c>
      <c r="G120" s="10">
        <v>21.3</v>
      </c>
      <c r="H120" s="10">
        <v>11.48</v>
      </c>
      <c r="I120" s="10">
        <v>21.85</v>
      </c>
      <c r="J120" s="10">
        <v>23.2</v>
      </c>
      <c r="K120" s="10">
        <v>7.1</v>
      </c>
    </row>
    <row r="121">
      <c r="A121" s="10">
        <v>170405.0</v>
      </c>
      <c r="B121" s="10">
        <v>1.0</v>
      </c>
      <c r="C121" s="11">
        <v>0.43125</v>
      </c>
      <c r="D121" s="10">
        <v>97.0</v>
      </c>
      <c r="E121" s="10">
        <v>2.0</v>
      </c>
      <c r="F121" s="10">
        <v>9.82</v>
      </c>
      <c r="G121" s="10">
        <v>19.36</v>
      </c>
      <c r="H121" s="10">
        <v>11.19</v>
      </c>
      <c r="I121" s="10">
        <v>13.57</v>
      </c>
      <c r="J121" s="10">
        <v>21.3</v>
      </c>
      <c r="K121" s="10">
        <v>5.1</v>
      </c>
      <c r="M121" s="10" t="s">
        <v>119</v>
      </c>
    </row>
    <row r="122">
      <c r="A122" s="10">
        <v>170405.0</v>
      </c>
      <c r="B122" s="10">
        <v>2.0</v>
      </c>
      <c r="C122" s="11">
        <v>0.43472222222222223</v>
      </c>
      <c r="D122" s="10">
        <v>7.0</v>
      </c>
      <c r="E122" s="10">
        <v>1.0</v>
      </c>
      <c r="F122" s="10">
        <v>10.18</v>
      </c>
      <c r="G122" s="10">
        <v>20.14</v>
      </c>
      <c r="H122" s="10">
        <v>11.72</v>
      </c>
      <c r="I122" s="10">
        <v>12.13</v>
      </c>
      <c r="J122" s="10">
        <v>23.2</v>
      </c>
      <c r="K122" s="10">
        <v>5.2</v>
      </c>
    </row>
    <row r="123">
      <c r="A123" s="10">
        <v>170405.0</v>
      </c>
      <c r="B123" s="10">
        <v>3.0</v>
      </c>
      <c r="C123" s="11">
        <v>0.43680555555555556</v>
      </c>
      <c r="D123" s="10">
        <v>10.0</v>
      </c>
      <c r="E123" s="10">
        <v>1.0</v>
      </c>
      <c r="F123" s="10">
        <v>10.22</v>
      </c>
      <c r="G123" s="10">
        <v>20.0</v>
      </c>
      <c r="H123" s="10">
        <v>11.02</v>
      </c>
      <c r="I123" s="10">
        <v>0.05</v>
      </c>
      <c r="J123" s="10">
        <v>0.0</v>
      </c>
      <c r="K123" s="10">
        <v>0.0</v>
      </c>
    </row>
    <row r="124">
      <c r="A124" s="10">
        <v>170405.0</v>
      </c>
      <c r="B124" s="10">
        <v>4.0</v>
      </c>
      <c r="C124" s="11">
        <v>0.44166666666666665</v>
      </c>
      <c r="D124" s="10">
        <v>90.0</v>
      </c>
      <c r="E124" s="10">
        <v>1.0</v>
      </c>
      <c r="F124" s="10">
        <v>11.38</v>
      </c>
      <c r="G124" s="10">
        <v>20.25</v>
      </c>
      <c r="H124" s="10">
        <v>11.45</v>
      </c>
      <c r="I124" s="10">
        <v>8.87</v>
      </c>
      <c r="J124" s="10">
        <v>23.8</v>
      </c>
      <c r="K124" s="10">
        <v>4.0</v>
      </c>
    </row>
    <row r="125">
      <c r="A125" s="10">
        <v>170405.0</v>
      </c>
      <c r="B125" s="10">
        <v>5.0</v>
      </c>
      <c r="C125" s="11">
        <v>0.44513888888888886</v>
      </c>
      <c r="D125" s="10">
        <v>116.0</v>
      </c>
      <c r="E125" s="10">
        <v>1.0</v>
      </c>
      <c r="F125" s="10">
        <v>12.08</v>
      </c>
      <c r="G125" s="10">
        <v>35.9</v>
      </c>
      <c r="H125" s="10">
        <v>18.29</v>
      </c>
      <c r="I125">
        <f>32+18.24</f>
        <v>50.24</v>
      </c>
      <c r="J125" s="10">
        <v>28.6</v>
      </c>
      <c r="K125" s="10">
        <v>15.5</v>
      </c>
    </row>
    <row r="126">
      <c r="A126" s="10">
        <v>170405.0</v>
      </c>
      <c r="B126" s="10">
        <v>6.0</v>
      </c>
      <c r="C126" s="11">
        <v>0.44930555555555557</v>
      </c>
      <c r="D126" s="10">
        <v>89.0</v>
      </c>
      <c r="E126" s="10">
        <v>1.0</v>
      </c>
      <c r="F126" s="10">
        <v>10.67</v>
      </c>
      <c r="G126" s="10">
        <v>23.42</v>
      </c>
      <c r="H126" s="10">
        <v>12.76</v>
      </c>
      <c r="I126" s="10">
        <v>18.2</v>
      </c>
      <c r="J126" s="10">
        <v>22.0</v>
      </c>
      <c r="K126" s="10">
        <v>6.8</v>
      </c>
    </row>
    <row r="127">
      <c r="A127" s="10">
        <v>170405.0</v>
      </c>
      <c r="B127" s="10">
        <v>7.0</v>
      </c>
      <c r="C127" s="11">
        <v>0.4527777777777778</v>
      </c>
      <c r="D127" s="10">
        <v>117.0</v>
      </c>
      <c r="E127" s="10">
        <v>1.0</v>
      </c>
      <c r="F127" s="10">
        <v>11.41</v>
      </c>
      <c r="G127" s="10">
        <v>21.65</v>
      </c>
      <c r="H127" s="10">
        <v>13.54</v>
      </c>
      <c r="I127">
        <f>8.23-0.59</f>
        <v>7.64</v>
      </c>
      <c r="J127" s="10">
        <v>17.7</v>
      </c>
      <c r="K127" s="10">
        <v>2.6</v>
      </c>
    </row>
    <row r="128">
      <c r="A128" s="10">
        <v>170405.0</v>
      </c>
      <c r="B128" s="10">
        <v>8.0</v>
      </c>
      <c r="C128" s="11">
        <v>0.4576388888888889</v>
      </c>
      <c r="D128" s="10">
        <v>25.0</v>
      </c>
      <c r="E128" s="10">
        <v>1.0</v>
      </c>
      <c r="F128" s="10">
        <v>11.22</v>
      </c>
      <c r="G128" s="10">
        <v>38.68</v>
      </c>
      <c r="H128" s="10">
        <v>22.02</v>
      </c>
      <c r="I128">
        <f>0.77+27.18</f>
        <v>27.95</v>
      </c>
      <c r="J128" s="10">
        <v>29.0</v>
      </c>
      <c r="K128" s="10">
        <v>12.2</v>
      </c>
    </row>
    <row r="129">
      <c r="A129" s="10">
        <v>170405.0</v>
      </c>
      <c r="B129" s="10">
        <v>9.0</v>
      </c>
      <c r="C129" s="11">
        <v>0.46111111111111114</v>
      </c>
      <c r="D129" s="10">
        <v>5.0</v>
      </c>
      <c r="E129" s="10">
        <v>1.0</v>
      </c>
      <c r="F129" s="10">
        <v>12.68</v>
      </c>
      <c r="G129" s="10">
        <v>22.16</v>
      </c>
      <c r="H129" s="10">
        <v>14.48</v>
      </c>
      <c r="I129" s="10">
        <v>1.94</v>
      </c>
      <c r="J129" s="10">
        <v>12.0</v>
      </c>
      <c r="K129" s="10">
        <v>0.01</v>
      </c>
      <c r="M129" s="10" t="s">
        <v>127</v>
      </c>
    </row>
    <row r="130">
      <c r="A130" s="10">
        <v>170405.0</v>
      </c>
      <c r="B130" s="10">
        <v>10.0</v>
      </c>
      <c r="C130" s="11">
        <v>0.46458333333333335</v>
      </c>
      <c r="D130" s="10">
        <v>107.0</v>
      </c>
      <c r="E130" s="10">
        <v>1.0</v>
      </c>
      <c r="F130" s="10">
        <v>11.82</v>
      </c>
      <c r="G130" s="10">
        <v>21.67</v>
      </c>
      <c r="H130" s="10">
        <v>11.56</v>
      </c>
      <c r="I130" s="10">
        <v>21.88</v>
      </c>
      <c r="J130" s="10">
        <v>25.8</v>
      </c>
      <c r="K130" s="10">
        <v>8.5</v>
      </c>
    </row>
    <row r="131">
      <c r="A131" s="10">
        <v>170405.0</v>
      </c>
      <c r="B131" s="10">
        <v>11.0</v>
      </c>
      <c r="C131" s="11">
        <v>0.46805555555555556</v>
      </c>
      <c r="D131" s="10">
        <v>22.0</v>
      </c>
      <c r="E131" s="10">
        <v>1.0</v>
      </c>
      <c r="F131" s="10">
        <v>11.33</v>
      </c>
      <c r="G131" s="10">
        <v>19.2</v>
      </c>
      <c r="H131" s="10">
        <v>10.25</v>
      </c>
      <c r="I131" s="10">
        <v>11.17</v>
      </c>
      <c r="J131" s="10">
        <v>17.2</v>
      </c>
      <c r="K131" s="10">
        <v>3.7</v>
      </c>
    </row>
    <row r="132">
      <c r="A132" s="10">
        <v>170405.0</v>
      </c>
      <c r="B132" s="10">
        <v>12.0</v>
      </c>
      <c r="C132" s="11">
        <v>0.48194444444444445</v>
      </c>
      <c r="D132" s="10"/>
      <c r="E132" s="10">
        <v>1.0</v>
      </c>
      <c r="F132" s="10">
        <v>13.06</v>
      </c>
      <c r="G132" s="10">
        <v>32.59</v>
      </c>
      <c r="H132" s="10">
        <v>23.8</v>
      </c>
      <c r="I132">
        <f>5.15+22.66</f>
        <v>27.81</v>
      </c>
      <c r="J132" s="10">
        <v>41.0</v>
      </c>
      <c r="K132" s="10">
        <v>16.1</v>
      </c>
      <c r="M132" s="10" t="s">
        <v>130</v>
      </c>
    </row>
    <row r="133">
      <c r="A133" s="10">
        <v>170406.0</v>
      </c>
      <c r="B133" s="10">
        <v>1.0</v>
      </c>
      <c r="C133" s="11">
        <v>0.37222222222222223</v>
      </c>
      <c r="D133" s="10">
        <v>110.0</v>
      </c>
      <c r="E133" s="10">
        <v>1.0</v>
      </c>
      <c r="F133" s="10">
        <v>10.67</v>
      </c>
      <c r="G133" s="10">
        <v>24.06</v>
      </c>
      <c r="H133" s="10">
        <v>10.69</v>
      </c>
      <c r="I133" s="10">
        <v>8.91</v>
      </c>
      <c r="J133" s="10">
        <v>23.7</v>
      </c>
      <c r="K133" s="10">
        <v>4.2</v>
      </c>
      <c r="M133" s="10" t="s">
        <v>132</v>
      </c>
    </row>
    <row r="134">
      <c r="A134" s="10">
        <v>170406.0</v>
      </c>
      <c r="B134" s="10">
        <v>2.0</v>
      </c>
      <c r="C134" s="11">
        <v>0.37569444444444444</v>
      </c>
      <c r="D134" s="10">
        <v>79.0</v>
      </c>
      <c r="E134" s="10">
        <v>1.0</v>
      </c>
      <c r="F134" s="10">
        <v>10.32</v>
      </c>
      <c r="G134" s="10">
        <v>19.71</v>
      </c>
      <c r="H134" s="10">
        <v>11.76</v>
      </c>
      <c r="I134">
        <f>8.69-1.92</f>
        <v>6.77</v>
      </c>
      <c r="J134" s="10">
        <v>19.8</v>
      </c>
      <c r="K134" s="10">
        <v>2.7</v>
      </c>
    </row>
    <row r="135">
      <c r="A135" s="10">
        <v>170406.0</v>
      </c>
      <c r="B135" s="10">
        <v>3.0</v>
      </c>
      <c r="C135" s="11">
        <v>0.37916666666666665</v>
      </c>
      <c r="D135" s="10">
        <v>113.0</v>
      </c>
      <c r="E135" s="10">
        <v>1.0</v>
      </c>
      <c r="F135" s="10">
        <v>12.16</v>
      </c>
      <c r="G135" s="10">
        <v>21.23</v>
      </c>
      <c r="H135" s="10">
        <v>10.97</v>
      </c>
      <c r="I135">
        <f>8.5-0.29</f>
        <v>8.21</v>
      </c>
      <c r="J135" s="10">
        <v>22.1</v>
      </c>
      <c r="K135" s="10">
        <v>3.0</v>
      </c>
    </row>
    <row r="136">
      <c r="A136" s="10">
        <v>170406.0</v>
      </c>
      <c r="B136" s="10">
        <v>4.0</v>
      </c>
      <c r="C136" s="11">
        <v>0.38680555555555557</v>
      </c>
      <c r="D136" s="10">
        <v>116.0</v>
      </c>
      <c r="E136" s="10">
        <v>2.0</v>
      </c>
      <c r="F136" s="10">
        <v>11.26</v>
      </c>
      <c r="G136" s="10">
        <v>33.43</v>
      </c>
      <c r="H136" s="10">
        <v>15.6</v>
      </c>
      <c r="I136">
        <f>4.7-0.22+31.29</f>
        <v>35.77</v>
      </c>
      <c r="J136" s="10">
        <v>30.2</v>
      </c>
      <c r="K136" s="10">
        <v>8.1</v>
      </c>
      <c r="M136" s="10" t="s">
        <v>134</v>
      </c>
    </row>
    <row r="137">
      <c r="A137" s="10">
        <v>170406.0</v>
      </c>
      <c r="B137" s="10">
        <v>5.0</v>
      </c>
      <c r="C137" s="11">
        <v>0.3909722222222222</v>
      </c>
      <c r="D137" s="10">
        <v>71.0</v>
      </c>
      <c r="E137" s="10">
        <v>1.0</v>
      </c>
      <c r="F137" s="10">
        <v>10.71</v>
      </c>
      <c r="G137" s="10">
        <v>21.9</v>
      </c>
      <c r="H137" s="10">
        <v>12.56</v>
      </c>
      <c r="I137">
        <f>13.78-0.65</f>
        <v>13.13</v>
      </c>
      <c r="J137" s="10">
        <v>22.0</v>
      </c>
      <c r="K137" s="10">
        <v>5.1</v>
      </c>
    </row>
    <row r="138">
      <c r="A138" s="10">
        <v>170406.0</v>
      </c>
      <c r="B138" s="10">
        <v>6.0</v>
      </c>
      <c r="C138" s="11">
        <v>0.39791666666666664</v>
      </c>
      <c r="D138" s="10">
        <v>29.0</v>
      </c>
      <c r="E138" s="10">
        <v>1.0</v>
      </c>
      <c r="F138" s="10">
        <v>9.85</v>
      </c>
      <c r="G138" s="10">
        <v>20.77</v>
      </c>
      <c r="H138" s="10">
        <v>11.2</v>
      </c>
      <c r="I138" s="10">
        <v>9.38</v>
      </c>
      <c r="J138" s="10">
        <v>16.0</v>
      </c>
      <c r="K138" s="10">
        <v>2.9</v>
      </c>
    </row>
    <row r="139">
      <c r="A139" s="10">
        <v>170406.0</v>
      </c>
      <c r="B139" s="10">
        <v>7.0</v>
      </c>
      <c r="C139" s="11">
        <v>0.4013888888888889</v>
      </c>
      <c r="D139" s="10">
        <v>22.0</v>
      </c>
      <c r="E139" s="10">
        <v>2.0</v>
      </c>
      <c r="F139" s="10">
        <v>12.33</v>
      </c>
      <c r="G139" s="10">
        <v>20.71</v>
      </c>
      <c r="H139" s="10">
        <v>11.13</v>
      </c>
      <c r="I139" s="10">
        <v>22.59</v>
      </c>
      <c r="J139" s="10">
        <v>25.2</v>
      </c>
      <c r="K139" s="10">
        <v>6.4</v>
      </c>
    </row>
    <row r="140">
      <c r="A140" s="10">
        <v>170406.0</v>
      </c>
      <c r="B140" s="10">
        <v>8.0</v>
      </c>
      <c r="C140" s="11">
        <v>0.40625</v>
      </c>
      <c r="D140" s="10">
        <v>34.0</v>
      </c>
      <c r="E140" s="10">
        <v>3.0</v>
      </c>
      <c r="F140" s="10">
        <v>12.21</v>
      </c>
      <c r="G140" s="10">
        <v>36.2</v>
      </c>
      <c r="H140" s="10">
        <v>17.33</v>
      </c>
      <c r="I140" s="10">
        <f>16.78+32</f>
        <v>48.78</v>
      </c>
      <c r="J140" s="10">
        <v>29.6</v>
      </c>
      <c r="K140" s="10">
        <v>16.2</v>
      </c>
      <c r="M140" s="10" t="s">
        <v>139</v>
      </c>
    </row>
    <row r="141">
      <c r="A141" s="10">
        <v>170406.0</v>
      </c>
      <c r="B141" s="10">
        <v>9.0</v>
      </c>
      <c r="C141" s="11">
        <v>0.41180555555555554</v>
      </c>
      <c r="D141" s="10">
        <v>93.0</v>
      </c>
      <c r="E141" s="10">
        <v>2.0</v>
      </c>
      <c r="F141" s="10">
        <v>10.65</v>
      </c>
      <c r="G141" s="10">
        <v>22.79</v>
      </c>
      <c r="H141" s="10">
        <v>11.24</v>
      </c>
      <c r="I141" s="10">
        <v>16.42</v>
      </c>
      <c r="J141" s="10">
        <v>22.1</v>
      </c>
      <c r="K141" s="10">
        <v>6.2</v>
      </c>
    </row>
    <row r="142">
      <c r="A142" s="10">
        <v>170406.0</v>
      </c>
      <c r="B142" s="10">
        <v>10.0</v>
      </c>
      <c r="C142" s="11">
        <v>0.41458333333333336</v>
      </c>
      <c r="D142" s="10">
        <v>26.0</v>
      </c>
      <c r="E142" s="10">
        <v>2.0</v>
      </c>
      <c r="F142" s="10">
        <v>10.05</v>
      </c>
      <c r="G142" s="10">
        <v>21.01</v>
      </c>
      <c r="H142" s="10">
        <v>10.97</v>
      </c>
      <c r="I142" s="10">
        <v>12.12</v>
      </c>
      <c r="J142" s="10">
        <v>20.8</v>
      </c>
      <c r="K142" s="10">
        <v>4.7</v>
      </c>
    </row>
    <row r="143">
      <c r="A143" s="10">
        <v>170406.0</v>
      </c>
      <c r="B143" s="10">
        <v>11.0</v>
      </c>
      <c r="C143" s="11">
        <v>0.4215277777777778</v>
      </c>
      <c r="D143" s="10">
        <v>28.0</v>
      </c>
      <c r="E143" s="10">
        <v>3.0</v>
      </c>
      <c r="F143" s="10">
        <v>9.33</v>
      </c>
      <c r="G143" s="10">
        <v>19.32</v>
      </c>
      <c r="H143" s="10">
        <v>9.71</v>
      </c>
      <c r="I143" s="10">
        <v>2.61</v>
      </c>
      <c r="J143" s="10">
        <v>11.2</v>
      </c>
      <c r="K143" s="10">
        <v>0.01</v>
      </c>
    </row>
    <row r="144">
      <c r="A144" s="10">
        <v>170406.0</v>
      </c>
      <c r="B144" s="10">
        <v>12.0</v>
      </c>
      <c r="C144" s="11">
        <v>0.4263888888888889</v>
      </c>
      <c r="D144" s="10">
        <v>14.0</v>
      </c>
      <c r="E144" s="10">
        <v>1.0</v>
      </c>
      <c r="F144" s="10">
        <v>11.69</v>
      </c>
      <c r="G144" s="10">
        <v>45.15</v>
      </c>
      <c r="H144" s="10">
        <v>23.39</v>
      </c>
      <c r="I144">
        <f>32+28.61</f>
        <v>60.61</v>
      </c>
      <c r="J144" s="10">
        <v>34.3</v>
      </c>
      <c r="K144" s="10">
        <v>20.8</v>
      </c>
    </row>
    <row r="145">
      <c r="A145" s="10">
        <v>170406.0</v>
      </c>
      <c r="B145" s="10">
        <v>13.0</v>
      </c>
      <c r="C145" s="11">
        <v>0.43194444444444446</v>
      </c>
      <c r="D145" s="10">
        <v>106.0</v>
      </c>
      <c r="E145" s="10">
        <v>1.0</v>
      </c>
      <c r="F145" s="10">
        <v>11.13</v>
      </c>
      <c r="G145" s="10">
        <v>21.22</v>
      </c>
      <c r="H145" s="11"/>
      <c r="I145">
        <f>15.59-2.62-0.37-0.27</f>
        <v>12.33</v>
      </c>
      <c r="J145" s="10">
        <v>22.6</v>
      </c>
      <c r="K145" s="10">
        <v>5.1</v>
      </c>
      <c r="M145" s="11">
        <v>0.42916666666666664</v>
      </c>
    </row>
    <row r="146">
      <c r="A146" s="10">
        <v>170406.0</v>
      </c>
      <c r="B146" s="10">
        <v>14.0</v>
      </c>
      <c r="C146" s="11">
        <v>0.44375</v>
      </c>
      <c r="D146" s="10">
        <v>49.0</v>
      </c>
      <c r="E146" s="10">
        <v>1.0</v>
      </c>
      <c r="F146" s="10">
        <v>10.26</v>
      </c>
      <c r="G146" s="10">
        <v>36.14</v>
      </c>
      <c r="H146" s="10">
        <v>20.51</v>
      </c>
      <c r="I146">
        <f>32+21.56</f>
        <v>53.56</v>
      </c>
      <c r="J146" s="10">
        <v>32.8</v>
      </c>
      <c r="K146" s="10">
        <v>17.1</v>
      </c>
      <c r="M146" s="11">
        <v>0.4395833333333333</v>
      </c>
    </row>
    <row r="147">
      <c r="A147" s="10">
        <v>170406.0</v>
      </c>
      <c r="B147" s="10">
        <v>15.0</v>
      </c>
      <c r="C147" s="11">
        <v>0.4486111111111111</v>
      </c>
      <c r="D147" s="10">
        <v>56.0</v>
      </c>
      <c r="E147" s="10">
        <v>2.0</v>
      </c>
      <c r="F147" s="10">
        <v>10.97</v>
      </c>
      <c r="G147" s="10">
        <v>20.9</v>
      </c>
      <c r="H147" s="10">
        <v>11.04</v>
      </c>
      <c r="I147">
        <f>6.26-0.5</f>
        <v>5.76</v>
      </c>
      <c r="J147" s="10">
        <v>16.7</v>
      </c>
      <c r="K147" s="10">
        <v>1.9</v>
      </c>
    </row>
    <row r="148">
      <c r="A148" s="10">
        <v>170406.0</v>
      </c>
      <c r="B148" s="10">
        <v>16.0</v>
      </c>
      <c r="C148" s="11">
        <v>0.4527777777777778</v>
      </c>
      <c r="D148" s="10">
        <v>43.0</v>
      </c>
      <c r="E148" s="10">
        <v>2.0</v>
      </c>
      <c r="F148" s="10">
        <v>12.07</v>
      </c>
      <c r="G148" s="10">
        <v>19.77</v>
      </c>
      <c r="H148" s="10">
        <v>12.4</v>
      </c>
      <c r="I148" s="10">
        <v>13.92</v>
      </c>
      <c r="J148" s="10">
        <v>18.2</v>
      </c>
      <c r="K148" s="10">
        <v>5.0</v>
      </c>
    </row>
    <row r="149">
      <c r="A149" s="10">
        <v>170406.0</v>
      </c>
      <c r="B149" s="10">
        <v>17.0</v>
      </c>
      <c r="C149" s="11">
        <v>0.4583333333333333</v>
      </c>
      <c r="D149" s="10">
        <v>81.0</v>
      </c>
      <c r="E149" s="10">
        <v>2.0</v>
      </c>
      <c r="F149" s="10">
        <v>12.43</v>
      </c>
      <c r="G149" s="10">
        <v>22.18</v>
      </c>
      <c r="H149" s="10">
        <v>11.43</v>
      </c>
      <c r="I149">
        <f>3.16+0.66+0.61</f>
        <v>4.43</v>
      </c>
      <c r="J149" s="10">
        <v>17.2</v>
      </c>
      <c r="K149" s="10">
        <v>1.2</v>
      </c>
    </row>
    <row r="150">
      <c r="A150" s="10">
        <v>170406.0</v>
      </c>
      <c r="B150" s="10">
        <v>18.0</v>
      </c>
      <c r="C150" s="11">
        <v>0.4618055555555556</v>
      </c>
      <c r="D150" s="10">
        <v>84.0</v>
      </c>
      <c r="E150" s="10">
        <v>1.0</v>
      </c>
      <c r="F150" s="10">
        <v>10.1</v>
      </c>
      <c r="G150" s="10">
        <v>21.2</v>
      </c>
      <c r="H150" s="10">
        <v>12.13</v>
      </c>
      <c r="I150" s="10">
        <v>16.48</v>
      </c>
      <c r="J150" s="10">
        <v>19.8</v>
      </c>
      <c r="K150" s="10">
        <v>5.0</v>
      </c>
    </row>
    <row r="151">
      <c r="A151" s="10">
        <v>170406.0</v>
      </c>
      <c r="B151" s="10">
        <v>19.0</v>
      </c>
      <c r="C151" s="11">
        <v>0.4652777777777778</v>
      </c>
      <c r="D151" s="10">
        <v>12.0</v>
      </c>
      <c r="E151" s="10">
        <v>1.0</v>
      </c>
      <c r="F151" s="10">
        <v>10.86</v>
      </c>
      <c r="G151" s="10">
        <v>22.66</v>
      </c>
      <c r="H151" s="10">
        <v>11.62</v>
      </c>
      <c r="I151" s="10">
        <v>15.57</v>
      </c>
      <c r="J151" s="10">
        <v>19.6</v>
      </c>
      <c r="K151" s="10">
        <v>4.9</v>
      </c>
    </row>
    <row r="152">
      <c r="A152" s="10">
        <v>170406.0</v>
      </c>
      <c r="B152" s="10">
        <v>20.0</v>
      </c>
      <c r="C152" s="11">
        <v>0.46944444444444444</v>
      </c>
      <c r="D152" s="10">
        <v>51.0</v>
      </c>
      <c r="E152" s="10">
        <v>1.0</v>
      </c>
      <c r="F152" s="10">
        <v>10.59</v>
      </c>
      <c r="G152" s="10">
        <v>23.57</v>
      </c>
      <c r="H152" s="10">
        <v>12.95</v>
      </c>
      <c r="I152" s="10">
        <v>34.16</v>
      </c>
      <c r="J152" s="10">
        <v>27.3</v>
      </c>
      <c r="K152" s="10">
        <v>12.0</v>
      </c>
    </row>
    <row r="153">
      <c r="A153" s="10">
        <v>170406.0</v>
      </c>
      <c r="B153" s="10">
        <v>21.0</v>
      </c>
      <c r="C153" s="11">
        <v>0.47291666666666665</v>
      </c>
      <c r="D153" s="10">
        <v>86.0</v>
      </c>
      <c r="E153" s="10">
        <v>1.0</v>
      </c>
      <c r="F153" s="10">
        <v>11.87</v>
      </c>
      <c r="G153" s="10">
        <v>22.31</v>
      </c>
      <c r="H153" s="10">
        <v>11.54</v>
      </c>
      <c r="I153" s="10">
        <v>28.03</v>
      </c>
      <c r="J153" s="10">
        <v>25.0</v>
      </c>
      <c r="K153" s="10">
        <v>10.7</v>
      </c>
    </row>
    <row r="154">
      <c r="A154" s="10">
        <v>170406.0</v>
      </c>
      <c r="B154" s="10">
        <v>22.0</v>
      </c>
      <c r="C154" s="11">
        <v>0.47638888888888886</v>
      </c>
      <c r="D154" s="10">
        <v>69.0</v>
      </c>
      <c r="E154" s="10">
        <v>1.0</v>
      </c>
      <c r="F154" s="10">
        <v>9.1</v>
      </c>
      <c r="G154" s="10">
        <v>15.56</v>
      </c>
      <c r="H154" s="10">
        <v>9.72</v>
      </c>
      <c r="I154" s="10">
        <v>4.77</v>
      </c>
      <c r="J154" s="10">
        <v>20.8</v>
      </c>
      <c r="K154" s="10">
        <v>2.0</v>
      </c>
    </row>
    <row r="155">
      <c r="A155" s="10">
        <v>170406.0</v>
      </c>
      <c r="B155" s="10">
        <v>23.0</v>
      </c>
      <c r="C155" s="11">
        <v>0.4798611111111111</v>
      </c>
      <c r="D155" s="10">
        <v>39.0</v>
      </c>
      <c r="E155" s="10">
        <v>5.0</v>
      </c>
      <c r="F155" s="10">
        <v>9.8</v>
      </c>
      <c r="G155" s="10">
        <v>23.16</v>
      </c>
      <c r="H155" s="10">
        <v>13.78</v>
      </c>
      <c r="I155" s="10">
        <v>34.51</v>
      </c>
      <c r="J155" s="10">
        <v>27.5</v>
      </c>
      <c r="K155" s="10">
        <v>12.5</v>
      </c>
    </row>
    <row r="156">
      <c r="A156" s="10">
        <v>170406.0</v>
      </c>
      <c r="B156" s="10">
        <v>24.0</v>
      </c>
      <c r="C156" s="11">
        <v>0.4840277777777778</v>
      </c>
      <c r="D156" s="10">
        <v>57.0</v>
      </c>
      <c r="E156" s="10">
        <v>1.0</v>
      </c>
      <c r="F156" s="10">
        <v>10.87</v>
      </c>
      <c r="G156" s="10">
        <v>21.19</v>
      </c>
      <c r="H156" s="10">
        <v>13.16</v>
      </c>
      <c r="I156">
        <f>10.63+2.08</f>
        <v>12.71</v>
      </c>
      <c r="J156" s="10">
        <v>20.0</v>
      </c>
      <c r="K156" s="10">
        <v>4.2</v>
      </c>
    </row>
    <row r="157">
      <c r="A157" s="10">
        <v>170406.0</v>
      </c>
      <c r="B157" s="10">
        <v>25.0</v>
      </c>
      <c r="C157" s="11">
        <v>0.4888888888888889</v>
      </c>
      <c r="D157" s="10">
        <v>101.0</v>
      </c>
      <c r="E157" s="10">
        <v>1.0</v>
      </c>
      <c r="F157" s="10">
        <v>10.01</v>
      </c>
      <c r="G157" s="10">
        <v>20.35</v>
      </c>
      <c r="H157" s="10">
        <v>13.3</v>
      </c>
      <c r="I157" s="10">
        <v>7.68</v>
      </c>
      <c r="J157" s="10">
        <v>26.2</v>
      </c>
      <c r="K157" s="10">
        <v>3.9</v>
      </c>
    </row>
    <row r="158">
      <c r="A158" s="10">
        <v>170406.0</v>
      </c>
      <c r="B158" s="10">
        <v>26.0</v>
      </c>
      <c r="C158" s="11">
        <v>0.49444444444444446</v>
      </c>
      <c r="D158" s="10">
        <v>21.0</v>
      </c>
      <c r="E158" s="10">
        <v>1.0</v>
      </c>
      <c r="F158" s="10">
        <v>10.21</v>
      </c>
      <c r="G158" s="10">
        <v>21.33</v>
      </c>
      <c r="H158">
        <f>1.28+11.12</f>
        <v>12.4</v>
      </c>
      <c r="I158" s="10">
        <v>12.86</v>
      </c>
      <c r="J158" s="10">
        <v>17.2</v>
      </c>
      <c r="K158" s="10">
        <v>3.7</v>
      </c>
    </row>
    <row r="159">
      <c r="A159" s="10">
        <v>170406.0</v>
      </c>
      <c r="B159" s="10">
        <v>27.0</v>
      </c>
      <c r="C159" s="11">
        <v>0.4979166666666667</v>
      </c>
      <c r="D159" s="10">
        <v>7.0</v>
      </c>
      <c r="E159" s="10">
        <v>1.0</v>
      </c>
      <c r="F159" s="10">
        <v>9.9</v>
      </c>
      <c r="G159" s="10">
        <v>21.74</v>
      </c>
      <c r="H159" s="10">
        <v>11.78</v>
      </c>
      <c r="I159" s="10">
        <v>16.78</v>
      </c>
      <c r="J159" s="10">
        <v>20.2</v>
      </c>
      <c r="K159" s="10">
        <v>5.7</v>
      </c>
    </row>
    <row r="160">
      <c r="A160" s="10">
        <v>170409.0</v>
      </c>
      <c r="B160" s="10">
        <v>1.0</v>
      </c>
      <c r="C160" s="11">
        <v>0.38263888888888886</v>
      </c>
      <c r="D160" s="10">
        <v>103.0</v>
      </c>
      <c r="E160" s="10">
        <v>1.0</v>
      </c>
      <c r="F160" s="10">
        <v>12.49</v>
      </c>
      <c r="G160" s="10">
        <v>21.89</v>
      </c>
      <c r="H160" s="10">
        <v>11.12</v>
      </c>
      <c r="I160">
        <f>17-0.37-0.18</f>
        <v>16.45</v>
      </c>
      <c r="J160" s="10">
        <v>29.3</v>
      </c>
      <c r="K160" s="10">
        <v>8.4</v>
      </c>
      <c r="M160" s="10" t="s">
        <v>148</v>
      </c>
    </row>
    <row r="161">
      <c r="A161" s="10">
        <v>170409.0</v>
      </c>
      <c r="B161" s="10">
        <v>2.0</v>
      </c>
      <c r="C161" s="11">
        <v>0.38680555555555557</v>
      </c>
      <c r="D161" s="10">
        <v>25.0</v>
      </c>
      <c r="E161" s="10">
        <v>1.0</v>
      </c>
      <c r="F161" s="10">
        <v>13.22</v>
      </c>
      <c r="G161" s="10">
        <v>36.93</v>
      </c>
      <c r="H161" s="10">
        <v>21.84</v>
      </c>
      <c r="I161">
        <f>23.07-0.53</f>
        <v>22.54</v>
      </c>
      <c r="J161" s="10">
        <v>28.8</v>
      </c>
      <c r="K161" s="10">
        <v>10.2</v>
      </c>
    </row>
    <row r="162">
      <c r="A162" s="10">
        <v>170409.0</v>
      </c>
      <c r="B162" s="10">
        <v>3.0</v>
      </c>
      <c r="C162" s="11">
        <v>0.3902777777777778</v>
      </c>
      <c r="D162" s="10">
        <v>106.0</v>
      </c>
      <c r="E162" s="10">
        <v>1.0</v>
      </c>
      <c r="F162" s="10">
        <v>11.59</v>
      </c>
      <c r="G162" s="10">
        <v>20.8</v>
      </c>
      <c r="H162" s="10">
        <v>12.0</v>
      </c>
      <c r="I162" s="10">
        <v>6.09</v>
      </c>
      <c r="J162" s="10">
        <v>32.3</v>
      </c>
      <c r="K162" s="10">
        <v>4.6</v>
      </c>
    </row>
    <row r="163">
      <c r="A163" s="10">
        <v>170409.0</v>
      </c>
      <c r="B163" s="10">
        <v>4.0</v>
      </c>
      <c r="C163" s="11">
        <v>0.39791666666666664</v>
      </c>
      <c r="D163" s="10">
        <v>108.0</v>
      </c>
      <c r="E163" s="10">
        <v>1.0</v>
      </c>
      <c r="F163" s="10">
        <v>12.66</v>
      </c>
      <c r="G163" s="10">
        <v>35.09</v>
      </c>
      <c r="H163" s="10">
        <v>23.14</v>
      </c>
      <c r="I163">
        <f>32+0.28</f>
        <v>32.28</v>
      </c>
      <c r="J163" s="10">
        <v>29.1</v>
      </c>
      <c r="K163" s="10">
        <v>12.5</v>
      </c>
    </row>
    <row r="164">
      <c r="A164" s="10">
        <v>170409.0</v>
      </c>
      <c r="B164" s="10">
        <v>5.0</v>
      </c>
      <c r="C164" s="11">
        <v>0.40208333333333335</v>
      </c>
      <c r="D164" s="10">
        <v>26.0</v>
      </c>
      <c r="E164" s="10">
        <v>1.0</v>
      </c>
      <c r="F164" s="10">
        <v>10.77</v>
      </c>
      <c r="G164" s="10">
        <v>20.53</v>
      </c>
      <c r="H164" s="10">
        <v>11.52</v>
      </c>
      <c r="I164" s="10">
        <v>13.25</v>
      </c>
      <c r="J164" s="10">
        <v>29.6</v>
      </c>
      <c r="K164" s="10">
        <v>7.9</v>
      </c>
    </row>
    <row r="165">
      <c r="A165" s="10">
        <v>170409.0</v>
      </c>
      <c r="B165" s="10">
        <v>6.0</v>
      </c>
      <c r="C165" s="11">
        <v>0.41041666666666665</v>
      </c>
      <c r="D165" s="10">
        <v>79.0</v>
      </c>
      <c r="E165" s="10">
        <v>1.0</v>
      </c>
      <c r="F165" s="10">
        <v>11.49</v>
      </c>
      <c r="G165" s="10">
        <v>19.02</v>
      </c>
      <c r="H165" s="10">
        <v>12.02</v>
      </c>
      <c r="I165" s="10">
        <v>12.17</v>
      </c>
      <c r="J165" s="10">
        <v>21.1</v>
      </c>
      <c r="K165" s="10">
        <v>5.0</v>
      </c>
      <c r="M165" s="10" t="s">
        <v>150</v>
      </c>
    </row>
    <row r="166">
      <c r="A166" s="10">
        <v>170409.0</v>
      </c>
      <c r="B166" s="10">
        <v>7.0</v>
      </c>
      <c r="C166" s="11">
        <v>0.41458333333333336</v>
      </c>
      <c r="D166" s="10">
        <v>97.0</v>
      </c>
      <c r="E166" s="10">
        <v>2.0</v>
      </c>
      <c r="F166" s="10">
        <v>12.12</v>
      </c>
      <c r="G166" s="10">
        <v>20.83</v>
      </c>
      <c r="H166" s="10">
        <v>11.83</v>
      </c>
      <c r="I166" s="10">
        <v>22.52</v>
      </c>
      <c r="J166" s="10">
        <v>24.9</v>
      </c>
      <c r="K166" s="10">
        <v>9.0</v>
      </c>
    </row>
    <row r="167">
      <c r="A167" s="10">
        <v>170409.0</v>
      </c>
      <c r="B167" s="10">
        <v>8.0</v>
      </c>
      <c r="C167" s="11">
        <v>0.41944444444444445</v>
      </c>
      <c r="D167" s="10">
        <v>80.0</v>
      </c>
      <c r="E167" s="10">
        <v>3.0</v>
      </c>
      <c r="F167" s="10">
        <v>10.77</v>
      </c>
      <c r="G167" s="10">
        <v>20.52</v>
      </c>
      <c r="H167" s="10">
        <v>11.82</v>
      </c>
      <c r="I167" s="10">
        <v>8.66</v>
      </c>
      <c r="J167" s="10">
        <v>27.5</v>
      </c>
      <c r="K167" s="10">
        <v>5.2</v>
      </c>
    </row>
    <row r="168">
      <c r="A168" s="10">
        <v>170409.0</v>
      </c>
      <c r="B168" s="10">
        <v>9.0</v>
      </c>
      <c r="C168" s="11">
        <v>0.42430555555555555</v>
      </c>
      <c r="D168" s="10">
        <v>89.0</v>
      </c>
      <c r="E168" s="10">
        <v>2.0</v>
      </c>
      <c r="F168" s="10">
        <v>9.77</v>
      </c>
      <c r="G168" s="10">
        <v>20.98</v>
      </c>
      <c r="H168" s="10">
        <v>11.69</v>
      </c>
      <c r="I168" s="10">
        <v>11.86</v>
      </c>
      <c r="J168" s="10">
        <v>24.2</v>
      </c>
      <c r="K168" s="10">
        <v>5.2</v>
      </c>
    </row>
    <row r="169">
      <c r="A169" s="10">
        <v>170409.0</v>
      </c>
      <c r="B169" s="10">
        <v>10.0</v>
      </c>
      <c r="C169" s="11">
        <v>0.4284722222222222</v>
      </c>
      <c r="D169" s="10">
        <v>100.0</v>
      </c>
      <c r="E169" s="10">
        <v>1.0</v>
      </c>
      <c r="F169" s="10">
        <v>13.21</v>
      </c>
      <c r="G169" s="10">
        <v>22.7</v>
      </c>
      <c r="H169" s="10">
        <v>11.84</v>
      </c>
      <c r="I169" s="10">
        <v>12.28</v>
      </c>
      <c r="J169" s="10">
        <v>24.9</v>
      </c>
      <c r="K169" s="10">
        <v>5.1</v>
      </c>
    </row>
    <row r="170">
      <c r="A170" s="10">
        <v>170409.0</v>
      </c>
      <c r="B170" s="10">
        <v>11.0</v>
      </c>
      <c r="C170" s="11">
        <v>0.43819444444444444</v>
      </c>
      <c r="D170" s="10">
        <v>71.0</v>
      </c>
      <c r="E170" s="10">
        <v>1.0</v>
      </c>
      <c r="F170" s="10">
        <v>12.12</v>
      </c>
      <c r="G170" s="10">
        <v>19.56</v>
      </c>
      <c r="H170" s="10">
        <v>11.71</v>
      </c>
      <c r="I170" s="10">
        <v>3.57</v>
      </c>
      <c r="J170" s="10">
        <v>13.1</v>
      </c>
      <c r="K170" s="10">
        <v>0.5</v>
      </c>
    </row>
    <row r="171">
      <c r="A171" s="10">
        <v>170409.0</v>
      </c>
      <c r="B171" s="10">
        <v>12.0</v>
      </c>
      <c r="C171" s="11">
        <v>0.4479166666666667</v>
      </c>
      <c r="D171" s="10">
        <v>88.0</v>
      </c>
      <c r="E171" s="10">
        <v>2.0</v>
      </c>
      <c r="F171" s="10">
        <v>11.83</v>
      </c>
      <c r="G171" s="10">
        <v>21.59</v>
      </c>
      <c r="H171" s="10">
        <v>12.55</v>
      </c>
      <c r="I171" s="10">
        <v>12.13</v>
      </c>
      <c r="J171" s="10">
        <v>23.3</v>
      </c>
      <c r="K171" s="10">
        <v>6.0</v>
      </c>
    </row>
    <row r="172">
      <c r="A172" s="10">
        <v>170409.0</v>
      </c>
      <c r="B172" s="10">
        <v>13.0</v>
      </c>
      <c r="C172" s="11">
        <v>0.45416666666666666</v>
      </c>
      <c r="D172" s="10">
        <v>29.0</v>
      </c>
      <c r="E172" s="10">
        <v>2.0</v>
      </c>
      <c r="F172" s="10">
        <v>10.07</v>
      </c>
      <c r="G172" s="10">
        <v>20.1</v>
      </c>
      <c r="H172" s="10">
        <v>11.11</v>
      </c>
      <c r="I172" s="10">
        <v>11.66</v>
      </c>
      <c r="J172" s="10">
        <v>19.9</v>
      </c>
      <c r="K172" s="10">
        <v>4.1</v>
      </c>
      <c r="M172" s="10" t="s">
        <v>153</v>
      </c>
    </row>
    <row r="173">
      <c r="A173" s="10">
        <v>170409.0</v>
      </c>
      <c r="B173" s="10">
        <v>14.0</v>
      </c>
      <c r="C173" s="11">
        <v>0.4576388888888889</v>
      </c>
      <c r="D173" s="10">
        <v>5.0</v>
      </c>
      <c r="E173" s="10">
        <v>1.0</v>
      </c>
      <c r="F173" s="10">
        <v>11.76</v>
      </c>
      <c r="G173" s="10">
        <v>21.28</v>
      </c>
      <c r="H173" s="10">
        <v>13.76</v>
      </c>
      <c r="I173">
        <f>13.71-0.37-0.7-0.37</f>
        <v>12.27</v>
      </c>
      <c r="J173" s="10">
        <v>22.3</v>
      </c>
      <c r="K173" s="10">
        <v>5.2</v>
      </c>
    </row>
    <row r="174">
      <c r="A174" s="10">
        <v>170409.0</v>
      </c>
      <c r="B174" s="10">
        <v>15.0</v>
      </c>
      <c r="C174" s="11">
        <v>0.46111111111111114</v>
      </c>
      <c r="D174" s="10">
        <v>6.0</v>
      </c>
      <c r="E174" s="10">
        <v>1.0</v>
      </c>
      <c r="F174" s="10">
        <v>12.15</v>
      </c>
      <c r="G174" s="10">
        <v>22.24</v>
      </c>
      <c r="H174" s="10">
        <v>12.97</v>
      </c>
      <c r="I174" s="10">
        <v>16.47</v>
      </c>
      <c r="J174" s="10">
        <v>24.0</v>
      </c>
      <c r="K174" s="10">
        <v>6.8</v>
      </c>
    </row>
    <row r="175">
      <c r="A175" s="10">
        <v>170409.0</v>
      </c>
      <c r="B175" s="10">
        <v>16.0</v>
      </c>
      <c r="C175" s="11">
        <v>0.4666666666666667</v>
      </c>
      <c r="D175" s="10">
        <v>16.0</v>
      </c>
      <c r="E175" s="10">
        <v>1.0</v>
      </c>
      <c r="F175" s="10">
        <v>11.7</v>
      </c>
      <c r="G175" s="10">
        <v>20.86</v>
      </c>
      <c r="H175" s="10">
        <v>11.43</v>
      </c>
      <c r="I175">
        <f>32+4.8</f>
        <v>36.8</v>
      </c>
      <c r="J175" s="10">
        <v>22.1</v>
      </c>
      <c r="K175" s="10">
        <v>11.4</v>
      </c>
    </row>
    <row r="176">
      <c r="A176" s="10">
        <v>170409.0</v>
      </c>
      <c r="B176" s="10">
        <v>17.0</v>
      </c>
      <c r="C176" s="11">
        <v>0.4722222222222222</v>
      </c>
      <c r="D176" s="10">
        <v>34.0</v>
      </c>
      <c r="E176" s="10">
        <v>2.0</v>
      </c>
      <c r="F176" s="10">
        <v>11.61</v>
      </c>
      <c r="G176" s="10">
        <v>33.66</v>
      </c>
      <c r="H176" s="10">
        <v>18.96</v>
      </c>
      <c r="I176">
        <f>64+9.17</f>
        <v>73.17</v>
      </c>
      <c r="J176" s="10">
        <v>32.0</v>
      </c>
      <c r="K176" s="10">
        <v>19.5</v>
      </c>
    </row>
    <row r="177">
      <c r="A177" s="10">
        <v>170409.0</v>
      </c>
      <c r="B177" s="10">
        <v>18.0</v>
      </c>
      <c r="C177" s="11">
        <v>0.4756944444444444</v>
      </c>
      <c r="D177" s="10">
        <v>28.0</v>
      </c>
      <c r="E177" s="10">
        <v>1.0</v>
      </c>
      <c r="F177" s="10">
        <v>10.1</v>
      </c>
      <c r="G177" s="10">
        <v>20.62</v>
      </c>
      <c r="H177" s="10">
        <v>10.76</v>
      </c>
      <c r="I177" s="10">
        <v>14.13</v>
      </c>
      <c r="J177" s="10">
        <v>18.2</v>
      </c>
      <c r="K177" s="10">
        <v>4.9</v>
      </c>
    </row>
    <row r="178">
      <c r="A178" s="10">
        <v>170409.0</v>
      </c>
      <c r="B178" s="10">
        <v>19.0</v>
      </c>
      <c r="C178" s="11">
        <v>0.4798611111111111</v>
      </c>
      <c r="D178" s="10">
        <v>18.0</v>
      </c>
      <c r="E178" s="10">
        <v>2.0</v>
      </c>
      <c r="F178" s="10">
        <v>10.45</v>
      </c>
      <c r="G178" s="10">
        <v>19.47</v>
      </c>
      <c r="H178" s="10">
        <v>12.89</v>
      </c>
      <c r="I178" s="10">
        <v>27.21</v>
      </c>
      <c r="J178" s="10">
        <v>22.6</v>
      </c>
      <c r="K178" s="10">
        <v>8.9</v>
      </c>
    </row>
    <row r="179">
      <c r="A179" s="10">
        <v>170409.0</v>
      </c>
      <c r="B179" s="10">
        <v>20.0</v>
      </c>
      <c r="C179" s="11">
        <v>0.48333333333333334</v>
      </c>
      <c r="D179" s="10">
        <v>22.0</v>
      </c>
      <c r="E179" s="10">
        <v>1.0</v>
      </c>
      <c r="F179" s="10">
        <v>12.32</v>
      </c>
      <c r="G179" s="10">
        <v>21.67</v>
      </c>
      <c r="H179" s="10">
        <v>11.89</v>
      </c>
      <c r="I179" s="10">
        <v>22.98</v>
      </c>
      <c r="J179" s="10">
        <v>23.6</v>
      </c>
      <c r="K179" s="10">
        <v>8.6</v>
      </c>
    </row>
    <row r="180">
      <c r="A180" s="10">
        <v>170409.0</v>
      </c>
      <c r="B180" s="10">
        <v>21.0</v>
      </c>
      <c r="C180" s="11">
        <v>0.4895833333333333</v>
      </c>
      <c r="D180" s="10">
        <v>116.0</v>
      </c>
      <c r="E180" s="10">
        <v>1.0</v>
      </c>
      <c r="F180" s="10">
        <v>12.04</v>
      </c>
      <c r="G180" s="10">
        <v>32.56</v>
      </c>
      <c r="H180" s="10">
        <v>17.98</v>
      </c>
      <c r="I180">
        <f>26.98+30.06</f>
        <v>57.04</v>
      </c>
      <c r="J180" s="10">
        <v>24.0</v>
      </c>
      <c r="K180" s="10">
        <v>13.0</v>
      </c>
      <c r="L180" s="10" t="s">
        <v>94</v>
      </c>
      <c r="M180" s="10" t="s">
        <v>161</v>
      </c>
    </row>
    <row r="181">
      <c r="A181" s="10">
        <v>170409.0</v>
      </c>
      <c r="B181" s="10">
        <v>22.0</v>
      </c>
      <c r="C181" s="11">
        <v>0.49375</v>
      </c>
      <c r="D181" s="10">
        <v>63.0</v>
      </c>
      <c r="E181" s="10">
        <v>2.0</v>
      </c>
      <c r="F181" s="10">
        <v>9.92</v>
      </c>
      <c r="G181" s="10">
        <v>19.89</v>
      </c>
      <c r="H181" s="10">
        <v>12.89</v>
      </c>
      <c r="I181" s="10">
        <v>23.63</v>
      </c>
      <c r="J181" s="10">
        <v>26.1</v>
      </c>
      <c r="K181" s="10">
        <v>9.0</v>
      </c>
    </row>
    <row r="182">
      <c r="A182" s="10">
        <v>170409.0</v>
      </c>
      <c r="B182" s="10">
        <v>23.0</v>
      </c>
      <c r="C182" s="11">
        <v>0.4965277777777778</v>
      </c>
      <c r="D182" s="10">
        <v>110.0</v>
      </c>
      <c r="E182" s="10">
        <v>1.0</v>
      </c>
      <c r="F182" s="10">
        <v>12.33</v>
      </c>
      <c r="G182" s="10">
        <v>23.0</v>
      </c>
      <c r="H182" s="10">
        <v>13.0</v>
      </c>
      <c r="I182" s="10">
        <v>2.52</v>
      </c>
      <c r="J182" s="10">
        <v>21.5</v>
      </c>
      <c r="K182" s="10">
        <v>0.6</v>
      </c>
    </row>
    <row r="183">
      <c r="A183" s="10">
        <v>170409.0</v>
      </c>
      <c r="B183" s="10">
        <v>24.0</v>
      </c>
      <c r="C183" s="11">
        <v>0.49930555555555556</v>
      </c>
      <c r="D183" s="10">
        <v>43.0</v>
      </c>
      <c r="E183" s="10">
        <v>2.0</v>
      </c>
      <c r="F183" s="10">
        <v>11.76</v>
      </c>
      <c r="G183" s="10">
        <v>19.53</v>
      </c>
      <c r="H183" s="10">
        <v>12.77</v>
      </c>
      <c r="I183" s="10">
        <v>19.06</v>
      </c>
      <c r="J183" s="10">
        <v>24.0</v>
      </c>
      <c r="K183" s="10">
        <v>7.7</v>
      </c>
    </row>
    <row r="184">
      <c r="A184" s="10">
        <v>170410.0</v>
      </c>
      <c r="B184" s="10">
        <v>1.0</v>
      </c>
      <c r="C184" s="11">
        <v>0.41180555555555554</v>
      </c>
      <c r="D184" s="10">
        <v>60.0</v>
      </c>
      <c r="E184" s="10">
        <v>1.0</v>
      </c>
      <c r="F184" s="10">
        <v>11.75</v>
      </c>
      <c r="G184" s="10">
        <v>32.85</v>
      </c>
      <c r="H184" s="10">
        <v>22.46</v>
      </c>
      <c r="I184">
        <f>32+9.83</f>
        <v>41.83</v>
      </c>
      <c r="J184" s="10">
        <v>25.2</v>
      </c>
      <c r="K184" s="10">
        <v>12.1</v>
      </c>
      <c r="M184" s="10" t="s">
        <v>162</v>
      </c>
    </row>
    <row r="185">
      <c r="A185" s="10">
        <v>170410.0</v>
      </c>
      <c r="B185" s="10">
        <v>2.0</v>
      </c>
      <c r="C185" s="11">
        <v>0.41597222222222224</v>
      </c>
      <c r="D185" s="10">
        <v>108.0</v>
      </c>
      <c r="E185" s="10">
        <v>1.0</v>
      </c>
      <c r="F185" s="10">
        <v>12.74</v>
      </c>
      <c r="G185" s="10">
        <v>35.29</v>
      </c>
      <c r="H185" s="10">
        <v>21.8</v>
      </c>
      <c r="I185">
        <f>32+8.93</f>
        <v>40.93</v>
      </c>
      <c r="J185" s="10">
        <v>30.5</v>
      </c>
      <c r="K185" s="10">
        <v>15.1</v>
      </c>
    </row>
    <row r="186">
      <c r="A186" s="10">
        <v>170410.0</v>
      </c>
      <c r="B186" s="10">
        <v>3.0</v>
      </c>
      <c r="C186" s="11">
        <v>0.41944444444444445</v>
      </c>
      <c r="D186" s="10">
        <v>105.0</v>
      </c>
      <c r="E186" s="10">
        <v>3.0</v>
      </c>
      <c r="F186" s="10">
        <v>11.09</v>
      </c>
      <c r="G186" s="10">
        <v>36.42</v>
      </c>
      <c r="H186" s="10">
        <v>22.58</v>
      </c>
      <c r="I186">
        <f>23.02+28.97</f>
        <v>51.99</v>
      </c>
      <c r="J186" s="10">
        <v>30.7</v>
      </c>
      <c r="K186" s="10">
        <v>17.1</v>
      </c>
    </row>
    <row r="187">
      <c r="A187" s="10">
        <v>170411.0</v>
      </c>
      <c r="B187" s="10">
        <v>1.0</v>
      </c>
      <c r="C187" s="11">
        <v>0.3701388888888889</v>
      </c>
      <c r="D187" s="10">
        <v>14.0</v>
      </c>
      <c r="E187" s="10">
        <v>4.0</v>
      </c>
      <c r="F187" s="10">
        <v>9.64</v>
      </c>
      <c r="G187" s="10">
        <v>43.13</v>
      </c>
      <c r="H187" s="10">
        <v>25.68</v>
      </c>
      <c r="I187">
        <f>64+31.15</f>
        <v>95.15</v>
      </c>
      <c r="J187" s="10">
        <v>36.1</v>
      </c>
      <c r="K187" s="10">
        <v>25.5</v>
      </c>
      <c r="M187" s="10" t="s">
        <v>163</v>
      </c>
    </row>
    <row r="188">
      <c r="A188" s="10">
        <v>170411.0</v>
      </c>
      <c r="B188" s="10">
        <v>2.0</v>
      </c>
      <c r="C188" s="11">
        <v>0.3784722222222222</v>
      </c>
      <c r="D188" s="10">
        <v>103.0</v>
      </c>
      <c r="E188" s="10">
        <v>1.0</v>
      </c>
      <c r="F188" s="10">
        <v>12.57</v>
      </c>
      <c r="G188" s="10">
        <v>21.12</v>
      </c>
      <c r="H188" s="10">
        <v>10.88</v>
      </c>
      <c r="I188">
        <f>8.63-0.17</f>
        <v>8.46</v>
      </c>
      <c r="J188" s="10">
        <v>26.5</v>
      </c>
      <c r="K188" s="10">
        <v>4.5</v>
      </c>
    </row>
    <row r="189">
      <c r="A189" s="10">
        <v>170411.0</v>
      </c>
      <c r="B189" s="10">
        <v>3.0</v>
      </c>
      <c r="C189" s="11">
        <v>0.3875</v>
      </c>
      <c r="D189" s="10">
        <v>83.0</v>
      </c>
      <c r="E189" s="10">
        <v>1.0</v>
      </c>
      <c r="F189" s="10">
        <v>11.49</v>
      </c>
      <c r="G189" s="10">
        <f>33.04</f>
        <v>33.04</v>
      </c>
      <c r="H189" s="10">
        <v>21.68</v>
      </c>
      <c r="I189">
        <f>63.43</f>
        <v>63.43</v>
      </c>
      <c r="J189" s="10">
        <v>34.2</v>
      </c>
      <c r="K189" s="10">
        <v>21.0</v>
      </c>
    </row>
    <row r="190">
      <c r="A190" s="10">
        <v>170411.0</v>
      </c>
      <c r="B190" s="10">
        <v>4.0</v>
      </c>
      <c r="C190" s="11">
        <v>0.39652777777777776</v>
      </c>
      <c r="D190" s="10">
        <v>11.0</v>
      </c>
      <c r="E190" s="10">
        <v>3.0</v>
      </c>
      <c r="F190" s="10">
        <v>10.89</v>
      </c>
      <c r="G190" s="10">
        <v>43.37</v>
      </c>
      <c r="H190" s="10">
        <v>24.44</v>
      </c>
      <c r="I190">
        <f>64+5.25</f>
        <v>69.25</v>
      </c>
      <c r="J190" s="10">
        <v>36.1</v>
      </c>
      <c r="K190" s="10">
        <v>24.8</v>
      </c>
    </row>
    <row r="191">
      <c r="A191" s="10">
        <v>170411.0</v>
      </c>
      <c r="B191" s="10">
        <v>5.0</v>
      </c>
      <c r="C191" s="11">
        <v>0.4</v>
      </c>
      <c r="D191" s="10">
        <v>117.0</v>
      </c>
      <c r="E191" s="10">
        <v>1.0</v>
      </c>
      <c r="F191" s="10">
        <v>10.73</v>
      </c>
      <c r="G191" s="10">
        <v>21.92</v>
      </c>
      <c r="H191" s="10">
        <v>13.04</v>
      </c>
      <c r="I191">
        <f>7.84-0.75</f>
        <v>7.09</v>
      </c>
      <c r="J191" s="10">
        <v>24.3</v>
      </c>
      <c r="K191" s="10">
        <v>3.0</v>
      </c>
    </row>
    <row r="192">
      <c r="A192" s="10">
        <v>170411.0</v>
      </c>
      <c r="B192" s="10">
        <v>6.0</v>
      </c>
      <c r="C192" s="11">
        <v>0.40347222222222223</v>
      </c>
      <c r="D192" s="10">
        <v>42.0</v>
      </c>
      <c r="E192" s="10">
        <v>1.0</v>
      </c>
      <c r="F192" s="10">
        <v>12.24</v>
      </c>
      <c r="G192" s="10">
        <v>19.52</v>
      </c>
      <c r="H192" s="10">
        <v>11.95</v>
      </c>
      <c r="I192" s="10">
        <v>6.03</v>
      </c>
      <c r="J192" s="10">
        <v>15.0</v>
      </c>
      <c r="K192" s="10">
        <v>1.8</v>
      </c>
    </row>
    <row r="193">
      <c r="A193" s="10">
        <v>170411.0</v>
      </c>
      <c r="B193" s="10">
        <v>7.0</v>
      </c>
      <c r="C193" s="11">
        <v>0.40625</v>
      </c>
      <c r="D193" s="10">
        <v>113.0</v>
      </c>
      <c r="E193" s="10">
        <v>2.0</v>
      </c>
      <c r="F193" s="10">
        <v>12.62</v>
      </c>
      <c r="G193" s="10">
        <v>21.57</v>
      </c>
      <c r="H193" s="10">
        <v>12.6</v>
      </c>
      <c r="I193" s="10">
        <v>16.1</v>
      </c>
      <c r="J193" s="10">
        <v>25.6</v>
      </c>
      <c r="K193" s="10">
        <v>7.4</v>
      </c>
    </row>
    <row r="194">
      <c r="A194" s="10">
        <v>170411.0</v>
      </c>
      <c r="B194" s="10">
        <v>8.0</v>
      </c>
      <c r="C194" s="11">
        <v>0.40902777777777777</v>
      </c>
      <c r="D194" s="10">
        <v>115.0</v>
      </c>
      <c r="E194" s="10">
        <v>1.0</v>
      </c>
      <c r="F194" s="10">
        <v>11.24</v>
      </c>
      <c r="G194" s="10">
        <v>23.07</v>
      </c>
      <c r="H194" s="10">
        <v>13.19</v>
      </c>
      <c r="I194" s="10">
        <v>22.37</v>
      </c>
      <c r="J194" s="10">
        <v>27.2</v>
      </c>
      <c r="K194" s="10">
        <v>10.1</v>
      </c>
    </row>
    <row r="195">
      <c r="A195" s="10">
        <v>170412.0</v>
      </c>
      <c r="B195" s="10">
        <v>1.0</v>
      </c>
      <c r="C195" s="11">
        <v>0.4340277777777778</v>
      </c>
      <c r="D195" s="10">
        <v>85.0</v>
      </c>
      <c r="E195" s="10">
        <v>1.0</v>
      </c>
      <c r="F195" s="10">
        <v>10.98</v>
      </c>
      <c r="G195" s="10">
        <v>19.95</v>
      </c>
      <c r="H195" s="10">
        <v>10.83</v>
      </c>
      <c r="I195" s="10">
        <v>5.5</v>
      </c>
      <c r="J195" s="10">
        <v>21.2</v>
      </c>
      <c r="K195" s="10">
        <v>2.1</v>
      </c>
    </row>
    <row r="196">
      <c r="A196" s="10">
        <v>170412.0</v>
      </c>
      <c r="B196" s="10">
        <v>2.0</v>
      </c>
      <c r="C196" s="11">
        <v>0.4388888888888889</v>
      </c>
      <c r="D196" s="10">
        <v>83.0</v>
      </c>
      <c r="E196" s="10">
        <v>1.0</v>
      </c>
      <c r="F196" s="10">
        <v>9.7</v>
      </c>
      <c r="G196" s="10">
        <v>35.43</v>
      </c>
      <c r="H196" s="10">
        <v>20.47</v>
      </c>
      <c r="I196">
        <f>68.55</f>
        <v>68.55</v>
      </c>
      <c r="J196" s="10">
        <v>33.3</v>
      </c>
      <c r="K196" s="10">
        <v>19.5</v>
      </c>
    </row>
    <row r="197">
      <c r="A197" s="10">
        <v>170412.0</v>
      </c>
      <c r="B197" s="10">
        <v>3.0</v>
      </c>
      <c r="C197" s="11">
        <v>0.44930555555555557</v>
      </c>
      <c r="D197" s="10">
        <v>11.0</v>
      </c>
      <c r="E197" s="10">
        <v>4.0</v>
      </c>
      <c r="F197" s="10">
        <v>10.07</v>
      </c>
      <c r="G197" s="10">
        <v>40.79</v>
      </c>
      <c r="H197" s="10">
        <v>23.46</v>
      </c>
      <c r="I197">
        <f>22.51+31.14</f>
        <v>53.65</v>
      </c>
      <c r="J197" s="10">
        <v>36.5</v>
      </c>
      <c r="K197" s="10">
        <v>20.5</v>
      </c>
    </row>
    <row r="198">
      <c r="A198" s="10">
        <v>170412.0</v>
      </c>
      <c r="B198" s="10">
        <v>4.0</v>
      </c>
      <c r="C198" s="11">
        <v>0.4534722222222222</v>
      </c>
      <c r="D198" s="10">
        <v>60.0</v>
      </c>
      <c r="E198" s="10">
        <v>1.0</v>
      </c>
      <c r="F198" s="10">
        <v>10.89</v>
      </c>
      <c r="G198" s="10">
        <v>40.07</v>
      </c>
      <c r="H198" s="10">
        <v>23.13</v>
      </c>
      <c r="I198">
        <f>22.23+32</f>
        <v>54.23</v>
      </c>
      <c r="J198" s="10">
        <v>32.7</v>
      </c>
      <c r="K198" s="10">
        <v>18.9</v>
      </c>
    </row>
    <row r="199">
      <c r="A199" s="10">
        <v>170412.0</v>
      </c>
      <c r="B199" s="10">
        <v>5.0</v>
      </c>
      <c r="C199" s="11">
        <v>0.46041666666666664</v>
      </c>
      <c r="D199" s="10">
        <v>103.0</v>
      </c>
      <c r="E199" s="10">
        <v>1.0</v>
      </c>
      <c r="F199" s="10">
        <v>11.9</v>
      </c>
      <c r="G199" s="10">
        <v>20.45</v>
      </c>
      <c r="H199" s="10">
        <v>11.09</v>
      </c>
      <c r="I199" s="10">
        <v>8.12</v>
      </c>
      <c r="J199" s="10">
        <v>23.2</v>
      </c>
      <c r="K199" s="10">
        <v>3.7</v>
      </c>
      <c r="M199" s="10" t="s">
        <v>165</v>
      </c>
    </row>
    <row r="200">
      <c r="A200" s="10">
        <v>170412.0</v>
      </c>
      <c r="B200" s="10">
        <v>6.0</v>
      </c>
      <c r="C200" s="11">
        <v>0.4638888888888889</v>
      </c>
      <c r="D200" s="10">
        <v>10.0</v>
      </c>
      <c r="E200" s="10">
        <v>2.0</v>
      </c>
      <c r="F200" s="10">
        <v>10.93</v>
      </c>
      <c r="G200" s="10">
        <v>17.64</v>
      </c>
      <c r="H200" s="10">
        <v>12.27</v>
      </c>
      <c r="I200" s="10">
        <v>1.35</v>
      </c>
      <c r="J200" s="10">
        <v>26.5</v>
      </c>
      <c r="K200" s="10">
        <v>0.4</v>
      </c>
    </row>
    <row r="201">
      <c r="A201" s="10">
        <v>170412.0</v>
      </c>
      <c r="B201" s="10">
        <v>7.0</v>
      </c>
      <c r="C201" s="11">
        <v>0.46875</v>
      </c>
      <c r="D201" s="10">
        <v>93.0</v>
      </c>
      <c r="E201" s="10">
        <v>1.0</v>
      </c>
      <c r="F201" s="10">
        <v>11.95</v>
      </c>
      <c r="G201" s="10">
        <v>23.11</v>
      </c>
      <c r="H201" s="10">
        <v>13.02</v>
      </c>
      <c r="I201" s="10">
        <v>9.39</v>
      </c>
      <c r="J201" s="10">
        <v>20.0</v>
      </c>
      <c r="K201" s="10">
        <v>3.9</v>
      </c>
    </row>
    <row r="202">
      <c r="A202" s="10">
        <v>170412.0</v>
      </c>
      <c r="B202" s="10">
        <v>8.0</v>
      </c>
      <c r="C202" s="11">
        <v>0.4722222222222222</v>
      </c>
      <c r="D202" s="10">
        <v>42.0</v>
      </c>
      <c r="E202" s="10">
        <v>1.0</v>
      </c>
      <c r="F202" s="10">
        <v>11.21</v>
      </c>
      <c r="G202" s="10">
        <v>19.91</v>
      </c>
      <c r="H202" s="10">
        <v>11.68</v>
      </c>
      <c r="I202" s="10">
        <v>16.06</v>
      </c>
      <c r="J202" s="10">
        <v>16.0</v>
      </c>
      <c r="K202" s="10">
        <v>4.1</v>
      </c>
    </row>
    <row r="203">
      <c r="A203" s="10">
        <v>170412.0</v>
      </c>
      <c r="B203" s="10">
        <v>9.0</v>
      </c>
      <c r="C203" s="11">
        <v>0.47708333333333336</v>
      </c>
      <c r="D203" s="10">
        <v>50.0</v>
      </c>
      <c r="E203" s="10">
        <v>1.0</v>
      </c>
      <c r="F203" s="10">
        <v>11.03</v>
      </c>
      <c r="G203" s="10">
        <v>23.87</v>
      </c>
      <c r="H203" s="10">
        <v>12.72</v>
      </c>
      <c r="I203" s="10">
        <v>19.07</v>
      </c>
      <c r="J203" s="10">
        <v>28.7</v>
      </c>
      <c r="K203" s="10">
        <v>8.5</v>
      </c>
    </row>
    <row r="204">
      <c r="A204" s="10">
        <v>170412.0</v>
      </c>
      <c r="B204" s="10">
        <v>10.0</v>
      </c>
      <c r="C204" s="11">
        <v>0.48194444444444445</v>
      </c>
      <c r="D204" s="10">
        <v>74.0</v>
      </c>
      <c r="E204" s="10">
        <v>1.0</v>
      </c>
      <c r="F204" s="10">
        <v>9.01</v>
      </c>
      <c r="G204" s="10">
        <v>16.76</v>
      </c>
      <c r="H204" s="10">
        <v>10.15</v>
      </c>
      <c r="I204" s="10">
        <v>6.16</v>
      </c>
      <c r="J204" s="10">
        <v>22.2</v>
      </c>
      <c r="K204" s="10">
        <v>2.1</v>
      </c>
    </row>
    <row r="205">
      <c r="A205" s="10">
        <v>170412.0</v>
      </c>
      <c r="B205" s="10">
        <v>11.0</v>
      </c>
      <c r="C205" s="11">
        <v>0.4861111111111111</v>
      </c>
      <c r="D205" s="10">
        <v>65.0</v>
      </c>
      <c r="E205" s="10">
        <v>1.0</v>
      </c>
      <c r="F205" s="10">
        <v>10.04</v>
      </c>
      <c r="G205" s="10">
        <v>18.85</v>
      </c>
      <c r="H205" s="10">
        <v>12.31</v>
      </c>
      <c r="I205" s="10">
        <v>14.92</v>
      </c>
      <c r="J205" s="10">
        <v>15.7</v>
      </c>
      <c r="K205" s="10">
        <v>4.2</v>
      </c>
      <c r="M205" s="10" t="s">
        <v>166</v>
      </c>
    </row>
    <row r="206">
      <c r="A206" s="10">
        <v>170413.0</v>
      </c>
      <c r="B206" s="10">
        <v>1.0</v>
      </c>
      <c r="C206" s="11">
        <v>0.475</v>
      </c>
      <c r="D206" s="10">
        <v>11.0</v>
      </c>
      <c r="E206" s="10">
        <v>14.0</v>
      </c>
      <c r="F206" s="10">
        <v>11.18</v>
      </c>
      <c r="G206" s="10">
        <v>39.18</v>
      </c>
      <c r="H206" s="10">
        <v>23.1</v>
      </c>
      <c r="I206">
        <f>64+7.63</f>
        <v>71.63</v>
      </c>
      <c r="J206" s="10">
        <v>36.1</v>
      </c>
      <c r="K206" s="10">
        <v>20.0</v>
      </c>
      <c r="M206" s="10" t="s">
        <v>167</v>
      </c>
    </row>
    <row r="207">
      <c r="A207" s="10">
        <v>170413.0</v>
      </c>
      <c r="B207" s="10">
        <v>2.0</v>
      </c>
      <c r="C207" s="11">
        <v>0.4791666666666667</v>
      </c>
      <c r="D207" s="10">
        <v>27.0</v>
      </c>
      <c r="E207" s="10">
        <v>2.0</v>
      </c>
      <c r="F207" s="10">
        <v>10.19</v>
      </c>
      <c r="G207" s="10">
        <v>31.23</v>
      </c>
      <c r="H207" s="10">
        <v>20.32</v>
      </c>
      <c r="I207">
        <f>28.29-1.29</f>
        <v>27</v>
      </c>
      <c r="J207" s="10">
        <v>28.2</v>
      </c>
      <c r="K207" s="10">
        <v>11.8</v>
      </c>
    </row>
    <row r="208">
      <c r="A208" s="10">
        <v>170413.0</v>
      </c>
      <c r="B208" s="10">
        <v>3.0</v>
      </c>
      <c r="C208" s="11">
        <v>0.48333333333333334</v>
      </c>
      <c r="D208" s="10">
        <v>108.0</v>
      </c>
      <c r="E208" s="10">
        <v>1.0</v>
      </c>
      <c r="F208" s="10">
        <v>13.55</v>
      </c>
      <c r="G208" s="10">
        <v>40.17</v>
      </c>
      <c r="H208" s="10">
        <v>26.06</v>
      </c>
      <c r="I208">
        <f>3.21+25.92+28.16</f>
        <v>57.29</v>
      </c>
      <c r="J208" s="10">
        <v>31.7</v>
      </c>
      <c r="K208" s="10">
        <v>18.3</v>
      </c>
    </row>
    <row r="209">
      <c r="A209" s="10">
        <v>170413.0</v>
      </c>
      <c r="B209" s="10">
        <v>4.0</v>
      </c>
      <c r="C209" s="11">
        <v>0.4861111111111111</v>
      </c>
      <c r="D209" s="10">
        <v>76.0</v>
      </c>
      <c r="E209" s="10">
        <v>1.0</v>
      </c>
      <c r="F209" s="10">
        <v>12.15</v>
      </c>
      <c r="G209" s="10">
        <v>34.18</v>
      </c>
      <c r="H209" s="10">
        <v>21.3</v>
      </c>
      <c r="I209" s="10">
        <v>32.0</v>
      </c>
      <c r="J209" s="10">
        <v>24.9</v>
      </c>
      <c r="K209" s="10">
        <v>11.0</v>
      </c>
    </row>
    <row r="210">
      <c r="A210" s="10">
        <v>170413.0</v>
      </c>
      <c r="B210" s="10">
        <v>5.0</v>
      </c>
      <c r="C210" s="11">
        <v>0.49027777777777776</v>
      </c>
      <c r="D210" s="10">
        <v>83.0</v>
      </c>
      <c r="E210" s="10">
        <v>1.0</v>
      </c>
      <c r="F210" s="10">
        <v>10.26</v>
      </c>
      <c r="G210" s="10">
        <v>35.66</v>
      </c>
      <c r="H210" s="10">
        <v>21.84</v>
      </c>
      <c r="I210">
        <f>3.36+64</f>
        <v>67.36</v>
      </c>
      <c r="J210" s="10">
        <v>32.1</v>
      </c>
      <c r="K210" s="10">
        <v>16.0</v>
      </c>
    </row>
    <row r="211">
      <c r="A211" s="10">
        <v>170413.0</v>
      </c>
      <c r="B211" s="10">
        <v>6.0</v>
      </c>
      <c r="C211" s="11">
        <v>0.49375</v>
      </c>
      <c r="D211" s="10">
        <v>23.0</v>
      </c>
      <c r="E211" s="10">
        <v>1.0</v>
      </c>
      <c r="F211" s="10">
        <v>9.42</v>
      </c>
      <c r="G211" s="10">
        <v>20.84</v>
      </c>
      <c r="H211" s="10">
        <v>10.52</v>
      </c>
      <c r="I211" s="10">
        <v>7.88</v>
      </c>
      <c r="J211" s="10">
        <v>20.1</v>
      </c>
      <c r="K211" s="10">
        <v>3.0</v>
      </c>
    </row>
    <row r="212">
      <c r="A212" s="10">
        <v>170413.0</v>
      </c>
      <c r="B212" s="10">
        <v>7.0</v>
      </c>
      <c r="C212" s="11">
        <v>0.4965277777777778</v>
      </c>
      <c r="D212" s="10">
        <v>36.0</v>
      </c>
      <c r="E212" s="10">
        <v>1.0</v>
      </c>
      <c r="F212" s="10">
        <v>12.1</v>
      </c>
      <c r="G212" s="10">
        <v>21.24</v>
      </c>
      <c r="H212" s="10">
        <v>12.57</v>
      </c>
      <c r="I212" s="10">
        <v>6.3</v>
      </c>
      <c r="J212" s="10">
        <v>19.8</v>
      </c>
      <c r="K212" s="10">
        <v>2.36</v>
      </c>
    </row>
    <row r="213">
      <c r="A213" s="10">
        <v>170414.0</v>
      </c>
      <c r="B213" s="10">
        <v>1.0</v>
      </c>
      <c r="C213" s="11">
        <v>0.46041666666666664</v>
      </c>
      <c r="D213" s="10">
        <v>105.0</v>
      </c>
      <c r="E213" s="10">
        <v>1.0</v>
      </c>
      <c r="F213" s="10">
        <v>10.8</v>
      </c>
      <c r="G213" s="10">
        <v>35.17</v>
      </c>
      <c r="H213" s="10">
        <v>22.65</v>
      </c>
      <c r="I213" s="10">
        <v>18.94</v>
      </c>
      <c r="J213" s="10">
        <v>25.1</v>
      </c>
      <c r="K213" s="10">
        <v>7.8</v>
      </c>
      <c r="M213" s="10" t="s">
        <v>168</v>
      </c>
      <c r="N213" s="10" t="s">
        <v>169</v>
      </c>
    </row>
    <row r="214">
      <c r="A214" s="10">
        <v>170414.0</v>
      </c>
      <c r="B214" s="10">
        <v>2.0</v>
      </c>
      <c r="C214" s="11">
        <v>0.4652777777777778</v>
      </c>
      <c r="D214" s="10">
        <v>112.0</v>
      </c>
      <c r="E214" s="10">
        <v>1.0</v>
      </c>
      <c r="F214" s="10">
        <v>10.56</v>
      </c>
      <c r="G214" s="10">
        <v>32.29</v>
      </c>
      <c r="H214" s="10">
        <v>20.46</v>
      </c>
      <c r="I214">
        <f>30.44+30.91</f>
        <v>61.35</v>
      </c>
      <c r="J214" s="10">
        <v>31.8</v>
      </c>
      <c r="K214" s="10">
        <v>19.2</v>
      </c>
    </row>
    <row r="215">
      <c r="A215" s="10">
        <v>170414.0</v>
      </c>
      <c r="B215" s="10">
        <v>3.0</v>
      </c>
      <c r="C215" s="11">
        <v>0.4777777777777778</v>
      </c>
      <c r="D215" s="10">
        <v>9.0</v>
      </c>
      <c r="E215" s="10">
        <v>1.0</v>
      </c>
      <c r="F215" s="10">
        <v>9.49</v>
      </c>
      <c r="G215" s="10">
        <v>19.79</v>
      </c>
      <c r="H215" s="10">
        <v>12.18</v>
      </c>
      <c r="I215">
        <f>11.62-1.84</f>
        <v>9.78</v>
      </c>
      <c r="J215" s="10">
        <v>20.2</v>
      </c>
      <c r="K215" s="10">
        <v>4.0</v>
      </c>
    </row>
    <row r="216">
      <c r="A216" s="10">
        <v>170414.0</v>
      </c>
      <c r="B216" s="10">
        <v>4.0</v>
      </c>
      <c r="C216" s="11">
        <v>0.48125</v>
      </c>
      <c r="D216" s="10">
        <v>85.0</v>
      </c>
      <c r="E216" s="10">
        <v>1.0</v>
      </c>
      <c r="F216" s="10">
        <v>12.65</v>
      </c>
      <c r="G216" s="10">
        <v>20.49</v>
      </c>
      <c r="H216" s="10">
        <v>12.2</v>
      </c>
      <c r="I216" s="10">
        <v>7.43</v>
      </c>
      <c r="J216" s="10">
        <v>27.1</v>
      </c>
      <c r="K216" s="10">
        <v>4.1</v>
      </c>
    </row>
    <row r="217">
      <c r="A217" s="10">
        <v>170414.0</v>
      </c>
      <c r="B217" s="10">
        <v>5.0</v>
      </c>
      <c r="C217" s="11">
        <v>0.4847222222222222</v>
      </c>
      <c r="D217" s="10">
        <v>106.0</v>
      </c>
      <c r="E217" s="10">
        <v>1.0</v>
      </c>
      <c r="F217" s="10">
        <v>11.16</v>
      </c>
      <c r="G217" s="10">
        <v>21.2</v>
      </c>
      <c r="H217" s="10">
        <v>12.31</v>
      </c>
      <c r="I217" s="10">
        <v>3.17</v>
      </c>
      <c r="J217" s="10">
        <v>17.5</v>
      </c>
      <c r="K217" s="10">
        <v>0.6</v>
      </c>
    </row>
    <row r="218">
      <c r="A218" s="10">
        <v>170414.0</v>
      </c>
      <c r="B218" s="10">
        <v>6.0</v>
      </c>
      <c r="C218" s="11">
        <v>0.4951388888888889</v>
      </c>
      <c r="D218" s="10">
        <v>5.0</v>
      </c>
      <c r="E218" s="10">
        <v>1.0</v>
      </c>
      <c r="F218" s="10">
        <v>11.86</v>
      </c>
      <c r="G218" s="10">
        <v>19.21</v>
      </c>
      <c r="H218" s="10">
        <v>12.48</v>
      </c>
      <c r="I218" s="10">
        <v>2.03</v>
      </c>
      <c r="J218" s="10">
        <v>17.0</v>
      </c>
      <c r="K218" s="10">
        <v>0.3</v>
      </c>
      <c r="M218" s="10" t="s">
        <v>170</v>
      </c>
    </row>
    <row r="219">
      <c r="A219" s="10">
        <v>170414.0</v>
      </c>
      <c r="B219" s="10">
        <v>7.0</v>
      </c>
      <c r="C219" s="11">
        <v>0.4986111111111111</v>
      </c>
      <c r="D219" s="10">
        <v>28.0</v>
      </c>
      <c r="E219" s="10">
        <v>1.0</v>
      </c>
      <c r="F219" s="10">
        <v>10.79</v>
      </c>
      <c r="G219" s="10">
        <v>23.07</v>
      </c>
      <c r="H219" s="10">
        <v>12.41</v>
      </c>
      <c r="I219">
        <f>14.78-1.4</f>
        <v>13.38</v>
      </c>
      <c r="J219" s="10">
        <v>17.2</v>
      </c>
      <c r="K219" s="10">
        <v>3.8</v>
      </c>
    </row>
    <row r="220">
      <c r="A220" s="10">
        <v>170415.0</v>
      </c>
      <c r="B220" s="10">
        <v>1.0</v>
      </c>
      <c r="C220" s="11">
        <v>0.3923611111111111</v>
      </c>
      <c r="D220" s="10">
        <v>13.0</v>
      </c>
      <c r="E220" s="10">
        <v>1.0</v>
      </c>
      <c r="F220" s="10">
        <v>9.67</v>
      </c>
      <c r="G220" s="10">
        <v>35.61</v>
      </c>
      <c r="H220" s="10">
        <v>22.71</v>
      </c>
      <c r="I220">
        <f>29.69+32</f>
        <v>61.69</v>
      </c>
      <c r="J220" s="10">
        <v>34.1</v>
      </c>
      <c r="K220" s="10">
        <v>20.6</v>
      </c>
      <c r="M220" s="10" t="s">
        <v>171</v>
      </c>
    </row>
    <row r="221">
      <c r="A221" s="10">
        <v>170415.0</v>
      </c>
      <c r="B221" s="10">
        <v>2.0</v>
      </c>
      <c r="C221" s="11">
        <v>0.3958333333333333</v>
      </c>
      <c r="D221" s="10">
        <v>36.0</v>
      </c>
      <c r="E221" s="10">
        <v>1.0</v>
      </c>
      <c r="F221" s="10">
        <v>10.51</v>
      </c>
      <c r="G221" s="10">
        <v>20.53</v>
      </c>
      <c r="H221" s="10">
        <v>11.09</v>
      </c>
      <c r="I221" s="10">
        <v>13.27</v>
      </c>
      <c r="J221" s="10">
        <v>18.8</v>
      </c>
      <c r="K221" s="10">
        <v>4.8</v>
      </c>
    </row>
    <row r="222">
      <c r="A222" s="10">
        <v>170415.0</v>
      </c>
      <c r="B222" s="10">
        <v>3.0</v>
      </c>
      <c r="C222" s="11">
        <v>0.4</v>
      </c>
      <c r="D222" s="10">
        <v>112.0</v>
      </c>
      <c r="E222" s="10">
        <v>1.0</v>
      </c>
      <c r="F222" s="10">
        <v>10.55</v>
      </c>
      <c r="G222" s="10">
        <v>34.75</v>
      </c>
      <c r="H222" s="10">
        <v>20.68</v>
      </c>
      <c r="I222">
        <f>9.59+31.37</f>
        <v>40.96</v>
      </c>
      <c r="J222" s="10">
        <v>33.2</v>
      </c>
      <c r="K222" s="10">
        <v>17.6</v>
      </c>
    </row>
    <row r="223">
      <c r="A223" s="10">
        <v>170415.0</v>
      </c>
      <c r="B223" s="10">
        <v>4.0</v>
      </c>
      <c r="C223" s="11">
        <v>0.4048611111111111</v>
      </c>
      <c r="D223" s="10">
        <v>85.0</v>
      </c>
      <c r="E223" s="10">
        <v>1.0</v>
      </c>
      <c r="F223" s="10">
        <v>12.33</v>
      </c>
      <c r="G223" s="10">
        <v>21.28</v>
      </c>
      <c r="H223" s="10">
        <v>11.79</v>
      </c>
      <c r="I223" s="10">
        <v>4.39</v>
      </c>
      <c r="J223" s="10">
        <v>22.0</v>
      </c>
      <c r="K223" s="10">
        <v>1.2</v>
      </c>
    </row>
    <row r="224">
      <c r="A224" s="10">
        <v>170415.0</v>
      </c>
      <c r="B224" s="10">
        <v>5.0</v>
      </c>
      <c r="C224" s="11">
        <v>0.4097222222222222</v>
      </c>
      <c r="D224" s="10">
        <v>17.0</v>
      </c>
      <c r="E224" s="10">
        <v>2.0</v>
      </c>
      <c r="F224" s="10">
        <v>11.48</v>
      </c>
      <c r="G224" s="10">
        <v>34.53</v>
      </c>
      <c r="H224" s="10">
        <v>20.76</v>
      </c>
      <c r="I224">
        <f>21.27+32</f>
        <v>53.27</v>
      </c>
      <c r="J224" s="10">
        <v>31.1</v>
      </c>
      <c r="K224" s="10">
        <v>17.9</v>
      </c>
    </row>
    <row r="225">
      <c r="A225" s="10">
        <v>170415.0</v>
      </c>
      <c r="B225" s="10">
        <v>6.0</v>
      </c>
      <c r="C225" s="11">
        <v>0.4166666666666667</v>
      </c>
      <c r="D225" s="10">
        <v>60.0</v>
      </c>
      <c r="E225" s="10">
        <v>1.0</v>
      </c>
      <c r="F225" s="10">
        <v>10.39</v>
      </c>
      <c r="G225" s="10">
        <v>39.31</v>
      </c>
      <c r="H225" s="10">
        <v>23.67</v>
      </c>
      <c r="I225">
        <f>12.24-0.41+29.82</f>
        <v>41.65</v>
      </c>
      <c r="J225" s="10">
        <v>30.9</v>
      </c>
      <c r="K225" s="10">
        <v>17.2</v>
      </c>
    </row>
    <row r="226">
      <c r="A226" s="10">
        <v>170415.0</v>
      </c>
      <c r="B226" s="10">
        <v>7.0</v>
      </c>
      <c r="C226" s="11">
        <v>0.4215277777777778</v>
      </c>
      <c r="D226" s="10">
        <v>27.0</v>
      </c>
      <c r="E226" s="10">
        <v>1.0</v>
      </c>
      <c r="F226" s="10">
        <v>12.28</v>
      </c>
      <c r="G226" s="10">
        <v>30.54</v>
      </c>
      <c r="H226" s="10">
        <v>16.01</v>
      </c>
      <c r="I226" s="10">
        <v>35.99</v>
      </c>
      <c r="J226" s="10">
        <v>28.2</v>
      </c>
      <c r="K226" s="10">
        <v>11.3</v>
      </c>
    </row>
    <row r="227">
      <c r="A227" s="10">
        <v>170415.0</v>
      </c>
      <c r="B227" s="10">
        <v>8.0</v>
      </c>
      <c r="C227" s="11">
        <v>0.42569444444444443</v>
      </c>
      <c r="D227" s="10">
        <v>64.0</v>
      </c>
      <c r="E227" s="10">
        <v>1.0</v>
      </c>
      <c r="F227" s="10">
        <v>9.2</v>
      </c>
      <c r="G227" s="10">
        <v>35.72</v>
      </c>
      <c r="H227" s="10">
        <v>21.1</v>
      </c>
      <c r="I227">
        <f>5.53+32-0.67</f>
        <v>36.86</v>
      </c>
      <c r="J227" s="10">
        <v>29.7</v>
      </c>
      <c r="K227" s="10">
        <v>14.8</v>
      </c>
      <c r="M227" s="10" t="s">
        <v>172</v>
      </c>
    </row>
    <row r="228">
      <c r="A228" s="10">
        <v>170415.0</v>
      </c>
      <c r="B228" s="10">
        <v>9.0</v>
      </c>
      <c r="C228" s="11">
        <v>0.43194444444444446</v>
      </c>
      <c r="D228" s="10">
        <v>18.0</v>
      </c>
      <c r="E228" s="10">
        <v>1.0</v>
      </c>
      <c r="F228" s="10">
        <v>11.02</v>
      </c>
      <c r="G228" s="10">
        <v>21.93</v>
      </c>
      <c r="H228" s="10">
        <v>12.85</v>
      </c>
      <c r="I228" s="10">
        <v>23.15</v>
      </c>
      <c r="J228" s="10">
        <v>23.1</v>
      </c>
      <c r="K228" s="10">
        <v>8.9</v>
      </c>
    </row>
    <row r="229">
      <c r="A229" s="10">
        <v>170415.0</v>
      </c>
      <c r="B229" s="10">
        <v>10.0</v>
      </c>
      <c r="C229" s="11">
        <v>0.4361111111111111</v>
      </c>
      <c r="D229" s="10">
        <v>106.0</v>
      </c>
      <c r="E229" s="10">
        <v>1.0</v>
      </c>
      <c r="F229" s="10">
        <v>11.38</v>
      </c>
      <c r="G229" s="10">
        <v>20.43</v>
      </c>
      <c r="H229" s="10">
        <v>11.9</v>
      </c>
      <c r="I229">
        <f>8.99-3.32</f>
        <v>5.67</v>
      </c>
      <c r="J229" s="10">
        <v>17.6</v>
      </c>
      <c r="K229" s="10">
        <v>1.6</v>
      </c>
    </row>
    <row r="230">
      <c r="A230" s="10">
        <v>170415.0</v>
      </c>
      <c r="B230" s="10">
        <v>11.0</v>
      </c>
      <c r="C230" s="11">
        <v>0.44027777777777777</v>
      </c>
      <c r="D230" s="10">
        <v>105.0</v>
      </c>
      <c r="E230" s="10">
        <v>1.0</v>
      </c>
      <c r="F230" s="10">
        <v>9.41</v>
      </c>
      <c r="G230" s="10">
        <v>36.88</v>
      </c>
      <c r="H230" s="10">
        <v>22.2</v>
      </c>
      <c r="I230">
        <f>21.68+32</f>
        <v>53.68</v>
      </c>
      <c r="J230" s="10">
        <v>33.7</v>
      </c>
      <c r="K230" s="10">
        <v>21.5</v>
      </c>
    </row>
    <row r="231">
      <c r="A231" s="10">
        <v>170416.0</v>
      </c>
      <c r="B231" s="10">
        <v>1.0</v>
      </c>
      <c r="C231" s="11">
        <v>0.38333333333333336</v>
      </c>
      <c r="D231" s="10">
        <v>27.0</v>
      </c>
      <c r="E231" s="10">
        <v>2.0</v>
      </c>
      <c r="F231" s="10">
        <v>10.47</v>
      </c>
      <c r="G231" s="10">
        <v>30.72</v>
      </c>
      <c r="H231" s="10">
        <v>18.29</v>
      </c>
      <c r="I231" s="10">
        <v>21.77</v>
      </c>
      <c r="J231" s="10">
        <v>22.8</v>
      </c>
      <c r="K231" s="10">
        <v>8.5</v>
      </c>
      <c r="M231" s="10" t="s">
        <v>173</v>
      </c>
    </row>
    <row r="232">
      <c r="A232" s="10">
        <v>170416.0</v>
      </c>
      <c r="B232" s="10">
        <v>2.0</v>
      </c>
      <c r="C232" s="11">
        <v>0.39375</v>
      </c>
      <c r="D232" s="10">
        <v>64.0</v>
      </c>
      <c r="E232" s="10">
        <v>1.0</v>
      </c>
      <c r="F232" s="10">
        <v>10.81</v>
      </c>
      <c r="G232" s="10">
        <v>39.31</v>
      </c>
      <c r="H232">
        <f>22.37+0.99</f>
        <v>23.36</v>
      </c>
      <c r="I232">
        <f>31.18+31.39</f>
        <v>62.57</v>
      </c>
      <c r="J232" s="10">
        <v>32.2</v>
      </c>
      <c r="K232" s="10">
        <v>18.5</v>
      </c>
    </row>
    <row r="233">
      <c r="A233" s="10">
        <v>170416.0</v>
      </c>
      <c r="B233" s="10">
        <v>3.0</v>
      </c>
      <c r="C233" s="11">
        <v>0.3993055555555556</v>
      </c>
      <c r="D233" s="10">
        <v>87.0</v>
      </c>
      <c r="E233" s="10">
        <v>1.0</v>
      </c>
      <c r="F233" s="10">
        <v>10.12</v>
      </c>
      <c r="G233" s="10">
        <v>34.1</v>
      </c>
      <c r="H233" s="10">
        <v>19.31</v>
      </c>
      <c r="I233">
        <f>24.58+32</f>
        <v>56.58</v>
      </c>
      <c r="J233" s="10">
        <v>34.5</v>
      </c>
      <c r="K233" s="10">
        <v>21.7</v>
      </c>
    </row>
    <row r="234">
      <c r="A234" s="10">
        <v>170416.0</v>
      </c>
      <c r="B234" s="10">
        <v>4.0</v>
      </c>
      <c r="C234" s="11">
        <v>0.40347222222222223</v>
      </c>
      <c r="D234" s="10">
        <v>99.0</v>
      </c>
      <c r="E234" s="10">
        <v>1.0</v>
      </c>
      <c r="F234" s="10">
        <v>12.1</v>
      </c>
      <c r="G234" s="10">
        <v>32.06</v>
      </c>
      <c r="H234" s="10">
        <v>17.95</v>
      </c>
      <c r="I234">
        <f>8.69+30.81</f>
        <v>39.5</v>
      </c>
      <c r="J234" s="10">
        <v>33.0</v>
      </c>
      <c r="K234" s="10">
        <v>16.7</v>
      </c>
    </row>
    <row r="235">
      <c r="A235" s="10">
        <v>170416.0</v>
      </c>
      <c r="B235" s="10">
        <v>5.0</v>
      </c>
      <c r="C235" s="11">
        <v>0.4111111111111111</v>
      </c>
      <c r="D235" s="10">
        <v>112.0</v>
      </c>
      <c r="E235" s="10">
        <v>1.0</v>
      </c>
      <c r="F235" s="10">
        <v>19.91</v>
      </c>
      <c r="G235" s="10">
        <v>31.78</v>
      </c>
      <c r="H235" s="10">
        <v>19.61</v>
      </c>
      <c r="I235">
        <f>33.38</f>
        <v>33.38</v>
      </c>
      <c r="J235" s="10">
        <v>32.8</v>
      </c>
      <c r="K235" s="10">
        <v>16.1</v>
      </c>
    </row>
    <row r="236">
      <c r="A236" s="10">
        <v>170416.0</v>
      </c>
      <c r="B236" s="10">
        <v>6.0</v>
      </c>
      <c r="C236" s="11">
        <v>0.41875</v>
      </c>
      <c r="D236" s="10">
        <v>80.0</v>
      </c>
      <c r="E236" s="10">
        <v>1.0</v>
      </c>
      <c r="F236" s="10">
        <v>12.53</v>
      </c>
      <c r="G236" s="10">
        <v>20.61</v>
      </c>
      <c r="H236" s="10">
        <v>12.06</v>
      </c>
      <c r="I236" s="10">
        <v>5.23</v>
      </c>
      <c r="J236" s="10">
        <v>30.4</v>
      </c>
      <c r="K236" s="10">
        <v>2.6</v>
      </c>
      <c r="M236" s="10" t="s">
        <v>175</v>
      </c>
    </row>
    <row r="237">
      <c r="A237" s="10">
        <v>170417.0</v>
      </c>
      <c r="B237" s="10">
        <v>1.0</v>
      </c>
      <c r="C237" s="11">
        <v>0.42083333333333334</v>
      </c>
      <c r="D237" s="10">
        <v>13.0</v>
      </c>
      <c r="E237" s="10">
        <v>2.0</v>
      </c>
      <c r="F237" s="10">
        <v>10.44</v>
      </c>
      <c r="G237" s="10">
        <v>36.39</v>
      </c>
      <c r="H237">
        <f>1.46+20.97</f>
        <v>22.43</v>
      </c>
      <c r="I237">
        <f>1.46-0.36+32+28.3</f>
        <v>61.4</v>
      </c>
      <c r="J237" s="10">
        <v>33.3</v>
      </c>
      <c r="K237" s="10">
        <v>20.1</v>
      </c>
      <c r="L237" s="10" t="s">
        <v>176</v>
      </c>
    </row>
    <row r="238">
      <c r="A238" s="10">
        <v>170417.0</v>
      </c>
      <c r="B238" s="10">
        <v>2.0</v>
      </c>
      <c r="C238" s="11">
        <v>0.42430555555555555</v>
      </c>
      <c r="D238" s="10">
        <v>87.0</v>
      </c>
      <c r="E238" s="10">
        <v>2.0</v>
      </c>
      <c r="F238" s="10">
        <v>11.24</v>
      </c>
      <c r="G238" s="10">
        <v>36.0</v>
      </c>
      <c r="H238" s="10">
        <v>20.49</v>
      </c>
      <c r="I238">
        <f>11.21+30.91+32</f>
        <v>74.12</v>
      </c>
      <c r="J238" s="10">
        <v>33.5</v>
      </c>
      <c r="K238" s="10">
        <v>19.0</v>
      </c>
    </row>
    <row r="239">
      <c r="A239" s="10">
        <v>170417.0</v>
      </c>
      <c r="B239" s="10">
        <v>3.0</v>
      </c>
      <c r="C239" s="11">
        <v>0.42777777777777776</v>
      </c>
      <c r="D239" s="10">
        <v>27.0</v>
      </c>
      <c r="E239" s="10">
        <v>1.0</v>
      </c>
      <c r="F239" s="10">
        <v>10.61</v>
      </c>
      <c r="G239" s="10">
        <v>32.12</v>
      </c>
      <c r="H239" s="10">
        <v>18.41</v>
      </c>
      <c r="I239" s="10">
        <v>31.48</v>
      </c>
      <c r="J239" s="10">
        <v>27.6</v>
      </c>
      <c r="K239" s="10">
        <v>12.1</v>
      </c>
    </row>
    <row r="240">
      <c r="A240" s="10">
        <v>170417.0</v>
      </c>
      <c r="B240" s="10">
        <v>4.0</v>
      </c>
      <c r="C240" s="11">
        <v>0.43125</v>
      </c>
      <c r="D240" s="10">
        <v>112.0</v>
      </c>
      <c r="E240" s="10">
        <v>1.0</v>
      </c>
      <c r="F240" s="10">
        <v>11.3</v>
      </c>
      <c r="G240" s="10">
        <v>33.82</v>
      </c>
      <c r="H240" s="10">
        <v>20.95</v>
      </c>
      <c r="I240">
        <f>21.84+32</f>
        <v>53.84</v>
      </c>
      <c r="J240" s="10">
        <v>33.8</v>
      </c>
      <c r="K240" s="10">
        <v>19.6</v>
      </c>
    </row>
    <row r="241">
      <c r="A241" s="10">
        <v>170418.0</v>
      </c>
      <c r="B241" s="10">
        <v>1.0</v>
      </c>
      <c r="C241" s="11">
        <v>0.38055555555555554</v>
      </c>
      <c r="D241" s="10">
        <v>76.0</v>
      </c>
      <c r="E241" s="10">
        <v>1.0</v>
      </c>
      <c r="F241" s="10">
        <v>11.49</v>
      </c>
      <c r="G241" s="10">
        <v>29.85</v>
      </c>
      <c r="H241" s="10">
        <v>20.69</v>
      </c>
      <c r="I241" s="10">
        <v>21.89</v>
      </c>
      <c r="J241" s="10">
        <v>15.2</v>
      </c>
      <c r="K241" s="10">
        <v>5.5</v>
      </c>
      <c r="M241" s="10" t="s">
        <v>178</v>
      </c>
    </row>
    <row r="242">
      <c r="A242" s="10">
        <v>170418.0</v>
      </c>
      <c r="B242" s="10">
        <v>2.0</v>
      </c>
      <c r="C242" s="11">
        <v>0.38472222222222224</v>
      </c>
      <c r="D242" s="10">
        <v>13.0</v>
      </c>
      <c r="E242" s="10">
        <v>1.0</v>
      </c>
      <c r="F242" s="10">
        <v>10.59</v>
      </c>
      <c r="G242" s="10">
        <v>36.95</v>
      </c>
      <c r="H242" s="10">
        <v>22.17</v>
      </c>
      <c r="I242">
        <f>32+18.64</f>
        <v>50.64</v>
      </c>
      <c r="J242" s="10">
        <v>33.2</v>
      </c>
      <c r="K242" s="10">
        <v>17.0</v>
      </c>
    </row>
    <row r="243">
      <c r="A243" s="10">
        <v>170418.0</v>
      </c>
      <c r="B243" s="10">
        <v>3.0</v>
      </c>
      <c r="C243" s="11">
        <v>0.3875</v>
      </c>
      <c r="D243" s="10">
        <v>10.0</v>
      </c>
      <c r="E243" s="10">
        <v>1.0</v>
      </c>
      <c r="F243" s="10">
        <v>11.34</v>
      </c>
      <c r="G243" s="10">
        <v>20.6</v>
      </c>
      <c r="H243" s="10">
        <v>12.65</v>
      </c>
      <c r="I243" s="10">
        <v>7.8</v>
      </c>
      <c r="J243" s="10">
        <v>17.5</v>
      </c>
      <c r="K243" s="10">
        <v>2.6</v>
      </c>
    </row>
    <row r="244">
      <c r="A244" s="10">
        <v>170418.0</v>
      </c>
      <c r="B244" s="10">
        <v>4.0</v>
      </c>
      <c r="C244" s="11">
        <v>0.39166666666666666</v>
      </c>
      <c r="D244" s="10">
        <v>104.0</v>
      </c>
      <c r="E244" s="10">
        <v>1.0</v>
      </c>
      <c r="F244" s="10">
        <v>9.78</v>
      </c>
      <c r="G244" s="10">
        <v>33.92</v>
      </c>
      <c r="H244" s="10">
        <v>23.79</v>
      </c>
      <c r="I244" s="10">
        <v>25.69</v>
      </c>
      <c r="J244" s="10">
        <v>27.7</v>
      </c>
      <c r="K244" s="10">
        <v>11.8</v>
      </c>
    </row>
    <row r="245">
      <c r="A245" s="10">
        <v>170418.0</v>
      </c>
      <c r="B245" s="10">
        <v>5.0</v>
      </c>
      <c r="C245" s="11">
        <v>0.3972222222222222</v>
      </c>
      <c r="D245" s="10">
        <v>87.0</v>
      </c>
      <c r="E245" s="10">
        <v>1.0</v>
      </c>
      <c r="F245" s="10">
        <v>10.7</v>
      </c>
      <c r="G245" s="10">
        <v>3.3</v>
      </c>
      <c r="H245" s="10">
        <v>18.55</v>
      </c>
      <c r="I245">
        <f>24.64+32</f>
        <v>56.64</v>
      </c>
      <c r="J245" s="10">
        <v>33.2</v>
      </c>
      <c r="K245" s="10">
        <v>20.1</v>
      </c>
    </row>
    <row r="246">
      <c r="A246" s="10">
        <v>170418.0</v>
      </c>
      <c r="B246" s="10">
        <v>6.0</v>
      </c>
      <c r="C246" s="11">
        <v>0.4027777777777778</v>
      </c>
      <c r="D246" s="10">
        <v>62.0</v>
      </c>
      <c r="E246" s="10">
        <v>1.0</v>
      </c>
      <c r="F246" s="10">
        <v>9.72</v>
      </c>
      <c r="G246" s="10">
        <v>39.67</v>
      </c>
      <c r="H246" s="10">
        <v>23.22</v>
      </c>
      <c r="I246" s="10">
        <f>14.79+32</f>
        <v>46.79</v>
      </c>
      <c r="J246" s="10">
        <v>32.8</v>
      </c>
      <c r="K246" s="10">
        <v>7.8</v>
      </c>
    </row>
    <row r="247">
      <c r="A247" s="10">
        <v>170418.0</v>
      </c>
      <c r="B247" s="10">
        <v>7.0</v>
      </c>
      <c r="C247" s="11">
        <v>0.40555555555555556</v>
      </c>
      <c r="D247" s="10">
        <v>36.0</v>
      </c>
      <c r="E247" s="10">
        <v>1.0</v>
      </c>
      <c r="F247" s="10">
        <v>9.97</v>
      </c>
      <c r="G247" s="10">
        <v>20.64</v>
      </c>
      <c r="H247" s="10">
        <v>12.45</v>
      </c>
      <c r="I247" s="10">
        <v>7.76</v>
      </c>
      <c r="J247" s="10">
        <v>24.8</v>
      </c>
      <c r="K247" s="10">
        <v>3.9</v>
      </c>
    </row>
    <row r="248">
      <c r="A248" s="10">
        <v>170420.0</v>
      </c>
      <c r="B248" s="10">
        <v>1.0</v>
      </c>
      <c r="C248" s="11">
        <v>0.4166666666666667</v>
      </c>
      <c r="D248" s="10">
        <v>77.0</v>
      </c>
      <c r="E248" s="10">
        <v>2.0</v>
      </c>
      <c r="F248" s="10">
        <v>13.24</v>
      </c>
      <c r="G248" s="10">
        <v>43.21</v>
      </c>
      <c r="H248" s="10">
        <v>25.58</v>
      </c>
      <c r="I248" s="10">
        <f>15.74+64</f>
        <v>79.74</v>
      </c>
      <c r="J248" s="10">
        <v>37.2</v>
      </c>
      <c r="K248" s="10">
        <v>23.8</v>
      </c>
      <c r="M248" s="10" t="s">
        <v>179</v>
      </c>
    </row>
    <row r="249">
      <c r="A249" s="10">
        <v>170420.0</v>
      </c>
      <c r="B249" s="10">
        <v>2.0</v>
      </c>
      <c r="C249" s="11">
        <v>0.42430555555555555</v>
      </c>
      <c r="D249" s="10">
        <v>76.0</v>
      </c>
      <c r="E249" s="10">
        <v>1.0</v>
      </c>
      <c r="F249" s="10">
        <v>11.61</v>
      </c>
      <c r="G249" s="10">
        <v>35.4</v>
      </c>
      <c r="H249" s="10">
        <v>22.31</v>
      </c>
      <c r="I249" s="10">
        <v>16.01</v>
      </c>
      <c r="J249" s="10">
        <v>23.2</v>
      </c>
      <c r="K249" s="10">
        <v>6.3</v>
      </c>
    </row>
    <row r="250">
      <c r="A250" s="10">
        <v>170421.0</v>
      </c>
      <c r="B250" s="10">
        <v>1.0</v>
      </c>
      <c r="C250" s="11">
        <v>0.44583333333333336</v>
      </c>
      <c r="D250" s="10">
        <v>3.0</v>
      </c>
      <c r="E250" s="10">
        <v>1.0</v>
      </c>
      <c r="F250" s="10">
        <v>10.78</v>
      </c>
      <c r="G250" s="10">
        <v>21.05</v>
      </c>
      <c r="H250" s="10">
        <v>12.04</v>
      </c>
      <c r="I250" s="10">
        <v>10.78</v>
      </c>
      <c r="J250" s="10">
        <v>18.3</v>
      </c>
      <c r="K250" s="10">
        <v>3.9</v>
      </c>
      <c r="M250" s="10" t="s">
        <v>180</v>
      </c>
    </row>
    <row r="251">
      <c r="A251" s="10">
        <v>170421.0</v>
      </c>
      <c r="B251" s="10">
        <v>2.0</v>
      </c>
      <c r="C251" s="11">
        <v>0.45208333333333334</v>
      </c>
      <c r="D251" s="10">
        <v>62.0</v>
      </c>
      <c r="E251" s="10">
        <v>1.0</v>
      </c>
      <c r="F251" s="10">
        <v>9.74</v>
      </c>
      <c r="G251" s="10">
        <v>38.2</v>
      </c>
      <c r="H251">
        <f>1.17+22.59</f>
        <v>23.76</v>
      </c>
      <c r="I251">
        <f>9.01+28.31</f>
        <v>37.32</v>
      </c>
      <c r="J251" s="10">
        <v>32.2</v>
      </c>
      <c r="K251" s="10">
        <v>16.0</v>
      </c>
    </row>
    <row r="252">
      <c r="A252" s="10">
        <v>170421.0</v>
      </c>
      <c r="B252" s="10">
        <v>3.0</v>
      </c>
      <c r="C252" s="11">
        <v>0.4576388888888889</v>
      </c>
      <c r="D252" s="10">
        <v>104.0</v>
      </c>
      <c r="E252" s="10">
        <v>1.0</v>
      </c>
      <c r="F252" s="10">
        <v>10.03</v>
      </c>
      <c r="G252" s="10">
        <v>35.22</v>
      </c>
      <c r="H252" s="10">
        <v>24.31</v>
      </c>
      <c r="I252">
        <f>10.3-0.82+30.82</f>
        <v>40.3</v>
      </c>
      <c r="J252" s="10">
        <v>31.2</v>
      </c>
      <c r="K252" s="10">
        <v>16.9</v>
      </c>
    </row>
    <row r="253">
      <c r="A253" s="10">
        <v>170421.0</v>
      </c>
      <c r="B253" s="10">
        <v>4.0</v>
      </c>
      <c r="C253" s="11">
        <v>0.46111111111111114</v>
      </c>
      <c r="D253" s="10">
        <v>17.0</v>
      </c>
      <c r="E253" s="10">
        <v>1.0</v>
      </c>
      <c r="F253" s="10">
        <v>11.24</v>
      </c>
      <c r="G253" s="10">
        <v>39.23</v>
      </c>
      <c r="H253" s="10">
        <v>22.4</v>
      </c>
      <c r="I253">
        <f>6.12+64</f>
        <v>70.12</v>
      </c>
      <c r="J253" s="10">
        <v>34.4</v>
      </c>
      <c r="K253" s="10">
        <v>21.7</v>
      </c>
    </row>
    <row r="254">
      <c r="A254" s="10">
        <v>170421.0</v>
      </c>
      <c r="B254" s="10">
        <v>5.0</v>
      </c>
      <c r="C254" s="11">
        <v>0.4666666666666667</v>
      </c>
      <c r="D254" s="10">
        <v>61.0</v>
      </c>
      <c r="E254" s="10">
        <v>2.0</v>
      </c>
      <c r="F254" s="10">
        <v>11.65</v>
      </c>
      <c r="G254" s="10">
        <v>35.91</v>
      </c>
      <c r="H254" s="10">
        <v>20.52</v>
      </c>
      <c r="I254">
        <f>31.3+31.14</f>
        <v>62.44</v>
      </c>
      <c r="J254" s="10">
        <v>31.3</v>
      </c>
      <c r="K254" s="10">
        <v>19.1</v>
      </c>
    </row>
    <row r="255">
      <c r="A255" s="10">
        <v>170423.0</v>
      </c>
      <c r="B255" s="10">
        <v>1.0</v>
      </c>
      <c r="C255" s="11">
        <v>0.42986111111111114</v>
      </c>
      <c r="D255" s="10">
        <v>3.0</v>
      </c>
      <c r="E255" s="10">
        <v>1.0</v>
      </c>
      <c r="F255" s="10">
        <v>11.44</v>
      </c>
      <c r="G255" s="10">
        <v>23.44</v>
      </c>
      <c r="H255" s="10">
        <v>12.75</v>
      </c>
      <c r="I255" s="10">
        <v>6.58</v>
      </c>
      <c r="J255" s="10">
        <v>16.3</v>
      </c>
      <c r="K255" s="10">
        <v>2.1</v>
      </c>
      <c r="M255" s="10" t="s">
        <v>182</v>
      </c>
    </row>
    <row r="256">
      <c r="A256" s="10">
        <v>170423.0</v>
      </c>
      <c r="B256" s="10">
        <v>2.0</v>
      </c>
      <c r="C256" s="11">
        <v>0.43333333333333335</v>
      </c>
      <c r="D256" s="10">
        <v>17.0</v>
      </c>
      <c r="E256" s="10">
        <v>1.0</v>
      </c>
      <c r="F256" s="10">
        <v>11.27</v>
      </c>
      <c r="G256" s="10">
        <v>34.06</v>
      </c>
      <c r="H256" s="10">
        <v>19.63</v>
      </c>
      <c r="I256">
        <f>32+20.35</f>
        <v>52.35</v>
      </c>
      <c r="J256" s="10">
        <v>30.7</v>
      </c>
      <c r="K256" s="10">
        <v>13.0</v>
      </c>
    </row>
    <row r="257">
      <c r="A257" s="10">
        <v>170424.0</v>
      </c>
      <c r="B257" s="10">
        <v>1.0</v>
      </c>
      <c r="C257" s="11">
        <v>0.44166666666666665</v>
      </c>
      <c r="D257" s="10">
        <v>3.0</v>
      </c>
      <c r="E257" s="10">
        <v>1.0</v>
      </c>
      <c r="F257" s="10">
        <v>10.75</v>
      </c>
      <c r="G257" s="10">
        <v>20.52</v>
      </c>
      <c r="H257" s="10">
        <v>11.35</v>
      </c>
      <c r="I257" s="10">
        <v>6.74</v>
      </c>
      <c r="J257" s="10">
        <v>18.8</v>
      </c>
      <c r="K257" s="10">
        <v>2.8</v>
      </c>
    </row>
    <row r="258">
      <c r="A258" s="10">
        <v>170424.0</v>
      </c>
      <c r="B258" s="10">
        <v>2.0</v>
      </c>
      <c r="C258" s="11">
        <v>0.44513888888888886</v>
      </c>
      <c r="D258" s="10">
        <v>64.0</v>
      </c>
      <c r="E258" s="10">
        <v>1.0</v>
      </c>
      <c r="F258" s="10">
        <v>10.34</v>
      </c>
      <c r="G258" s="10">
        <v>39.84</v>
      </c>
      <c r="H258">
        <f>1.32+24.4</f>
        <v>25.72</v>
      </c>
      <c r="I258" s="10">
        <v>37.4</v>
      </c>
      <c r="J258" s="10">
        <v>30.1</v>
      </c>
      <c r="K258" s="10">
        <v>14.1</v>
      </c>
    </row>
    <row r="259">
      <c r="A259" s="10">
        <v>170424.0</v>
      </c>
      <c r="B259" s="10">
        <v>3.0</v>
      </c>
      <c r="C259" s="11">
        <v>0.45069444444444445</v>
      </c>
      <c r="D259" s="10">
        <v>77.0</v>
      </c>
      <c r="E259" s="10">
        <v>1.0</v>
      </c>
      <c r="F259" s="10">
        <v>11.21</v>
      </c>
      <c r="G259" s="10">
        <v>41.39</v>
      </c>
      <c r="H259" s="10">
        <v>23.5</v>
      </c>
      <c r="I259">
        <f>64+14.76</f>
        <v>78.76</v>
      </c>
      <c r="J259" s="10">
        <v>36.8</v>
      </c>
      <c r="K259" s="10">
        <v>24.2</v>
      </c>
    </row>
    <row r="260">
      <c r="A260" s="10">
        <v>170424.0</v>
      </c>
      <c r="B260" s="10">
        <v>4.0</v>
      </c>
      <c r="C260" s="11">
        <v>0.45416666666666666</v>
      </c>
      <c r="D260" s="10">
        <v>61.0</v>
      </c>
      <c r="E260" s="10">
        <v>2.0</v>
      </c>
      <c r="F260" s="10">
        <v>12.56</v>
      </c>
      <c r="G260" s="10">
        <v>37.01</v>
      </c>
      <c r="H260" s="10">
        <v>20.79</v>
      </c>
      <c r="I260">
        <f>32+26.81</f>
        <v>58.81</v>
      </c>
      <c r="J260" s="10">
        <v>32.2</v>
      </c>
      <c r="K260" s="10">
        <v>19.8</v>
      </c>
    </row>
    <row r="261">
      <c r="A261" s="10">
        <v>170424.0</v>
      </c>
      <c r="B261" s="10">
        <v>5.0</v>
      </c>
      <c r="C261" s="11">
        <v>0.4576388888888889</v>
      </c>
      <c r="D261" s="10">
        <v>20.0</v>
      </c>
      <c r="E261" s="10">
        <v>2.0</v>
      </c>
      <c r="F261" s="10">
        <v>12.52</v>
      </c>
      <c r="G261" s="10">
        <v>23.0</v>
      </c>
      <c r="H261" s="10">
        <v>11.61</v>
      </c>
      <c r="I261" s="10">
        <v>10.45</v>
      </c>
      <c r="J261" s="10">
        <v>21.7</v>
      </c>
      <c r="K261" s="10">
        <v>4.4</v>
      </c>
    </row>
    <row r="262">
      <c r="A262" s="10">
        <v>170424.0</v>
      </c>
      <c r="B262" s="10">
        <v>6.0</v>
      </c>
      <c r="C262" s="11">
        <v>0.4638888888888889</v>
      </c>
      <c r="E262" s="10">
        <v>1.0</v>
      </c>
      <c r="F262" s="10">
        <v>12.05</v>
      </c>
      <c r="G262" s="10">
        <v>41.73</v>
      </c>
      <c r="H262" s="10">
        <v>24.29</v>
      </c>
      <c r="I262">
        <f>96+3.48-0.35</f>
        <v>99.13</v>
      </c>
      <c r="J262" s="10">
        <v>36.4</v>
      </c>
      <c r="K262" s="10">
        <v>28.9</v>
      </c>
      <c r="M262" s="10">
        <v>77.0</v>
      </c>
    </row>
    <row r="263">
      <c r="A263" s="10">
        <v>170425.0</v>
      </c>
      <c r="B263" s="10">
        <v>1.0</v>
      </c>
      <c r="C263" s="11">
        <v>0.4236111111111111</v>
      </c>
      <c r="D263" s="10">
        <v>68.0</v>
      </c>
      <c r="E263" s="10">
        <v>1.0</v>
      </c>
      <c r="F263" s="10">
        <v>10.94</v>
      </c>
      <c r="G263" s="10">
        <v>38.06</v>
      </c>
      <c r="H263" s="10">
        <v>22.06</v>
      </c>
      <c r="I263">
        <f>15.93+32</f>
        <v>47.93</v>
      </c>
      <c r="J263" s="10">
        <v>32.0</v>
      </c>
      <c r="K263" s="10">
        <v>17.7</v>
      </c>
      <c r="M263" s="10" t="s">
        <v>183</v>
      </c>
    </row>
    <row r="264">
      <c r="A264" s="10">
        <v>170425.0</v>
      </c>
      <c r="B264" s="10">
        <v>2.0</v>
      </c>
      <c r="C264" s="11">
        <v>0.42986111111111114</v>
      </c>
      <c r="D264" s="10">
        <v>64.0</v>
      </c>
      <c r="E264" s="10">
        <v>1.0</v>
      </c>
      <c r="F264" s="10">
        <v>10.37</v>
      </c>
      <c r="G264" s="10">
        <v>38.39</v>
      </c>
      <c r="H264">
        <f>1.14+23.24</f>
        <v>24.38</v>
      </c>
      <c r="I264">
        <f>32+12.98-0.64</f>
        <v>44.34</v>
      </c>
      <c r="J264" s="10">
        <v>30.8</v>
      </c>
      <c r="K264" s="10">
        <v>15.2</v>
      </c>
    </row>
    <row r="265">
      <c r="A265" s="10">
        <v>170425.0</v>
      </c>
      <c r="B265" s="10">
        <v>3.0</v>
      </c>
      <c r="C265" s="11">
        <v>0.4326388888888889</v>
      </c>
      <c r="D265" s="10">
        <v>32.0</v>
      </c>
      <c r="E265" s="10">
        <v>1.0</v>
      </c>
      <c r="F265" s="10">
        <v>11.85</v>
      </c>
      <c r="G265" s="10">
        <v>22.72</v>
      </c>
      <c r="H265" s="10">
        <v>11.66</v>
      </c>
      <c r="I265" s="10">
        <v>7.7</v>
      </c>
      <c r="J265" s="10">
        <v>17.3</v>
      </c>
      <c r="K265" s="10">
        <v>2.9</v>
      </c>
    </row>
    <row r="266">
      <c r="A266" s="10">
        <v>170425.0</v>
      </c>
      <c r="B266" s="10">
        <v>4.0</v>
      </c>
      <c r="C266" s="11">
        <v>0.43680555555555556</v>
      </c>
      <c r="D266" s="10">
        <v>61.0</v>
      </c>
      <c r="E266" s="10">
        <v>1.0</v>
      </c>
      <c r="F266" s="10">
        <v>10.48</v>
      </c>
      <c r="G266" s="10">
        <v>33.57</v>
      </c>
      <c r="H266" s="10">
        <v>19.54</v>
      </c>
      <c r="I266">
        <f>8.49+32</f>
        <v>40.49</v>
      </c>
      <c r="J266" s="10">
        <v>29.2</v>
      </c>
      <c r="K266" s="10">
        <v>14.1</v>
      </c>
    </row>
    <row r="267">
      <c r="A267" s="10">
        <v>170426.0</v>
      </c>
      <c r="B267" s="10">
        <v>1.0</v>
      </c>
      <c r="C267" s="11">
        <v>0.4548611111111111</v>
      </c>
      <c r="D267" s="10">
        <v>30.0</v>
      </c>
      <c r="E267" s="10">
        <v>2.0</v>
      </c>
      <c r="F267" s="10">
        <v>11.47</v>
      </c>
      <c r="G267" s="10">
        <v>31.66</v>
      </c>
      <c r="H267" s="10">
        <v>21.26</v>
      </c>
      <c r="I267">
        <f>13.93+32</f>
        <v>45.93</v>
      </c>
      <c r="J267" s="10">
        <v>32.2</v>
      </c>
      <c r="K267" s="10">
        <v>17.1</v>
      </c>
    </row>
    <row r="268">
      <c r="A268" s="10">
        <v>170426.0</v>
      </c>
      <c r="B268" s="10">
        <v>2.0</v>
      </c>
      <c r="C268" s="11">
        <v>0.4618055555555556</v>
      </c>
      <c r="D268" s="10">
        <v>20.0</v>
      </c>
      <c r="E268" s="10">
        <v>1.0</v>
      </c>
      <c r="F268" s="10">
        <v>11.13</v>
      </c>
      <c r="G268" s="10">
        <v>22.23</v>
      </c>
      <c r="H268" s="10">
        <v>12.72</v>
      </c>
      <c r="I268">
        <f>11.97-0.94-0.35-1.25</f>
        <v>9.43</v>
      </c>
      <c r="J268" s="10">
        <v>18.8</v>
      </c>
      <c r="K268" s="10">
        <v>3.1</v>
      </c>
    </row>
    <row r="269">
      <c r="A269" s="10">
        <v>170427.0</v>
      </c>
      <c r="B269" s="10">
        <v>1.0</v>
      </c>
      <c r="C269" s="11">
        <v>0.4131944444444444</v>
      </c>
      <c r="D269" s="10">
        <v>20.0</v>
      </c>
      <c r="E269" s="10">
        <v>1.0</v>
      </c>
      <c r="F269" s="10">
        <v>11.28</v>
      </c>
      <c r="G269" s="10">
        <v>21.9</v>
      </c>
      <c r="H269" s="10">
        <v>12.86</v>
      </c>
      <c r="I269" s="10">
        <v>16.22</v>
      </c>
      <c r="J269" s="10">
        <v>25.2</v>
      </c>
      <c r="K269" s="10">
        <v>7.5</v>
      </c>
      <c r="M269" s="10" t="s">
        <v>184</v>
      </c>
    </row>
    <row r="270">
      <c r="A270" s="10">
        <v>170428.0</v>
      </c>
      <c r="B270" s="10">
        <v>1.0</v>
      </c>
      <c r="C270" s="11">
        <v>0.425</v>
      </c>
      <c r="D270" s="10">
        <v>60.0</v>
      </c>
      <c r="E270" s="10">
        <v>1.0</v>
      </c>
      <c r="F270" s="10">
        <v>12.45</v>
      </c>
      <c r="G270" s="10">
        <v>39.77</v>
      </c>
      <c r="H270" s="10">
        <v>22.89</v>
      </c>
      <c r="I270">
        <f>29.82+32</f>
        <v>61.82</v>
      </c>
      <c r="J270" s="10">
        <v>35.0</v>
      </c>
      <c r="K270" s="10">
        <v>22.2</v>
      </c>
    </row>
    <row r="271">
      <c r="A271" s="10">
        <v>170428.0</v>
      </c>
      <c r="B271" s="10">
        <v>2.0</v>
      </c>
      <c r="C271" s="11">
        <v>0.42777777777777776</v>
      </c>
      <c r="D271" s="10">
        <v>20.0</v>
      </c>
      <c r="E271" s="10">
        <v>1.0</v>
      </c>
      <c r="F271" s="10">
        <v>11.44</v>
      </c>
      <c r="G271" s="10">
        <v>20.89</v>
      </c>
      <c r="H271" s="10">
        <v>12.15</v>
      </c>
      <c r="I271" s="10">
        <v>10.79</v>
      </c>
      <c r="J271" s="10">
        <v>27.5</v>
      </c>
      <c r="K271" s="10">
        <v>6.1</v>
      </c>
    </row>
    <row r="272">
      <c r="A272" s="10">
        <v>170428.0</v>
      </c>
      <c r="B272" s="10">
        <v>3.0</v>
      </c>
      <c r="C272" s="11">
        <v>0.4340277777777778</v>
      </c>
      <c r="D272" s="10">
        <v>99.0</v>
      </c>
      <c r="E272" s="10">
        <v>1.0</v>
      </c>
      <c r="F272" s="10">
        <v>10.7</v>
      </c>
      <c r="G272" s="10">
        <v>27.77</v>
      </c>
      <c r="H272" s="10">
        <v>17.03</v>
      </c>
      <c r="I272" s="10">
        <v>38.59</v>
      </c>
      <c r="J272" s="10">
        <v>29.1</v>
      </c>
      <c r="K272" s="10">
        <v>15.1</v>
      </c>
    </row>
    <row r="273">
      <c r="A273" s="10">
        <v>170428.0</v>
      </c>
      <c r="B273" s="10">
        <v>4.0</v>
      </c>
      <c r="C273" s="11">
        <v>0.4395833333333333</v>
      </c>
      <c r="D273" s="10">
        <v>68.0</v>
      </c>
      <c r="E273" s="10">
        <v>1.0</v>
      </c>
      <c r="F273" s="10">
        <v>11.77</v>
      </c>
      <c r="G273" s="10">
        <v>38.99</v>
      </c>
      <c r="H273" s="10">
        <v>23.75</v>
      </c>
      <c r="I273">
        <f>32+25.74</f>
        <v>57.74</v>
      </c>
      <c r="J273" s="10">
        <v>32.8</v>
      </c>
      <c r="K273" s="10">
        <v>20.5</v>
      </c>
    </row>
    <row r="274">
      <c r="A274" s="10">
        <v>170429.0</v>
      </c>
      <c r="B274" s="10">
        <v>1.0</v>
      </c>
      <c r="C274" s="11">
        <v>0.42986111111111114</v>
      </c>
      <c r="D274" s="10">
        <v>99.0</v>
      </c>
      <c r="E274" s="10">
        <v>1.0</v>
      </c>
      <c r="F274" s="10">
        <v>10.35</v>
      </c>
      <c r="G274" s="10">
        <v>28.48</v>
      </c>
      <c r="H274" s="10">
        <v>16.97</v>
      </c>
      <c r="I274" s="10">
        <v>30.34</v>
      </c>
      <c r="J274" s="10">
        <v>28.1</v>
      </c>
      <c r="K274" s="10">
        <v>12.2</v>
      </c>
      <c r="M274" s="10" t="s">
        <v>185</v>
      </c>
    </row>
    <row r="275">
      <c r="A275" s="10">
        <v>170429.0</v>
      </c>
      <c r="B275" s="10">
        <v>2.0</v>
      </c>
      <c r="C275" s="11">
        <v>0.4361111111111111</v>
      </c>
      <c r="D275" s="10">
        <v>30.0</v>
      </c>
      <c r="E275" s="10">
        <v>1.0</v>
      </c>
      <c r="F275" s="10">
        <v>10.08</v>
      </c>
      <c r="G275" s="10">
        <v>37.16</v>
      </c>
      <c r="H275" s="10">
        <v>21.26</v>
      </c>
      <c r="I275">
        <f>32+5.35+6.13</f>
        <v>43.48</v>
      </c>
      <c r="J275" s="10">
        <v>32.0</v>
      </c>
      <c r="K275" s="10">
        <v>16.1</v>
      </c>
    </row>
    <row r="276">
      <c r="A276" s="10">
        <v>170429.0</v>
      </c>
      <c r="B276" s="10">
        <v>3.0</v>
      </c>
      <c r="C276" s="11">
        <v>0.4423611111111111</v>
      </c>
      <c r="D276" s="10">
        <v>61.0</v>
      </c>
      <c r="E276" s="10">
        <v>1.0</v>
      </c>
      <c r="F276" s="10">
        <v>11.89</v>
      </c>
      <c r="G276" s="10">
        <v>37.67</v>
      </c>
      <c r="H276" s="10">
        <v>22.11</v>
      </c>
      <c r="I276">
        <f>27.38+32</f>
        <v>59.38</v>
      </c>
      <c r="J276" s="10">
        <v>32.9</v>
      </c>
      <c r="K276" s="10">
        <v>21.2</v>
      </c>
    </row>
    <row r="277">
      <c r="A277" s="10">
        <v>170429.0</v>
      </c>
      <c r="B277" s="10">
        <v>4.0</v>
      </c>
      <c r="C277" s="11">
        <v>0.44722222222222224</v>
      </c>
      <c r="D277" s="10">
        <v>2.0</v>
      </c>
      <c r="E277" s="10">
        <v>1.0</v>
      </c>
      <c r="F277" s="10">
        <v>11.23</v>
      </c>
      <c r="G277" s="10">
        <v>38.06</v>
      </c>
      <c r="H277" s="10">
        <v>22.33</v>
      </c>
      <c r="I277">
        <f>21.06+32</f>
        <v>53.06</v>
      </c>
      <c r="J277" s="10">
        <v>33.9</v>
      </c>
      <c r="K277" s="10">
        <v>20.9</v>
      </c>
    </row>
    <row r="278">
      <c r="A278" s="10">
        <v>170430.0</v>
      </c>
      <c r="B278" s="10">
        <v>1.0</v>
      </c>
      <c r="C278" s="11">
        <v>0.4215277777777778</v>
      </c>
      <c r="D278" s="10">
        <v>46.0</v>
      </c>
      <c r="E278" s="10">
        <v>1.0</v>
      </c>
      <c r="F278" s="10">
        <v>12.09</v>
      </c>
      <c r="G278" s="10">
        <v>25.8</v>
      </c>
      <c r="H278" s="10">
        <v>12.94</v>
      </c>
      <c r="I278">
        <f>9.01-1.06</f>
        <v>7.95</v>
      </c>
      <c r="J278" s="10">
        <v>19.0</v>
      </c>
      <c r="K278" s="10">
        <v>2.8</v>
      </c>
      <c r="M278" s="10" t="s">
        <v>186</v>
      </c>
    </row>
    <row r="279">
      <c r="A279" s="10">
        <v>170430.0</v>
      </c>
      <c r="B279" s="10">
        <v>2.0</v>
      </c>
      <c r="C279" s="11">
        <v>0.425</v>
      </c>
      <c r="D279" s="10">
        <v>45.0</v>
      </c>
      <c r="E279" s="10">
        <v>1.0</v>
      </c>
      <c r="F279" s="10">
        <v>12.69</v>
      </c>
      <c r="G279" s="10">
        <v>24.42</v>
      </c>
      <c r="H279" s="10">
        <v>12.56</v>
      </c>
      <c r="I279" s="10">
        <v>5.31</v>
      </c>
      <c r="J279" s="10">
        <v>18.7</v>
      </c>
      <c r="K279" s="10">
        <v>1.8</v>
      </c>
    </row>
    <row r="280">
      <c r="A280" s="10">
        <v>170430.0</v>
      </c>
      <c r="B280" s="10">
        <v>3.0</v>
      </c>
      <c r="C280" s="11">
        <v>0.4326388888888889</v>
      </c>
      <c r="D280" s="10">
        <v>30.0</v>
      </c>
      <c r="E280" s="10">
        <v>1.0</v>
      </c>
      <c r="F280" s="10">
        <v>9.9</v>
      </c>
      <c r="G280" s="10">
        <v>37.12</v>
      </c>
      <c r="H280" s="10">
        <v>21.92</v>
      </c>
      <c r="I280">
        <f>1.66+32+2.03</f>
        <v>35.69</v>
      </c>
      <c r="J280" s="10">
        <v>31.8</v>
      </c>
      <c r="K280" s="10">
        <v>15.1</v>
      </c>
    </row>
    <row r="281">
      <c r="A281" s="10">
        <v>170430.0</v>
      </c>
      <c r="B281" s="10">
        <v>4.0</v>
      </c>
      <c r="C281" s="11">
        <v>0.43680555555555556</v>
      </c>
      <c r="D281" s="10">
        <v>15.0</v>
      </c>
      <c r="E281" s="10">
        <v>1.0</v>
      </c>
      <c r="F281" s="10">
        <v>11.9</v>
      </c>
      <c r="G281" s="10">
        <v>18.98</v>
      </c>
      <c r="H281" s="10">
        <v>10.9</v>
      </c>
      <c r="I281">
        <f>0.7+0.72+1.02</f>
        <v>2.44</v>
      </c>
      <c r="J281" s="10">
        <v>18.5</v>
      </c>
      <c r="K281" s="10">
        <v>0.2</v>
      </c>
    </row>
    <row r="282">
      <c r="A282" s="10">
        <v>170502.0</v>
      </c>
      <c r="B282" s="10">
        <v>1.0</v>
      </c>
      <c r="C282" s="11">
        <v>0.42083333333333334</v>
      </c>
      <c r="D282" s="10">
        <v>62.0</v>
      </c>
      <c r="E282" s="10">
        <v>1.0</v>
      </c>
      <c r="F282" s="10">
        <v>10.06</v>
      </c>
      <c r="G282" s="10">
        <v>37.98</v>
      </c>
      <c r="H282">
        <f>22.72+1.22</f>
        <v>23.94</v>
      </c>
      <c r="I282">
        <f>32+3.02</f>
        <v>35.02</v>
      </c>
      <c r="J282" s="10">
        <v>33.0</v>
      </c>
      <c r="K282" s="10">
        <v>15.6</v>
      </c>
      <c r="M282" s="10" t="s">
        <v>188</v>
      </c>
    </row>
    <row r="283">
      <c r="A283" s="10">
        <v>170502.0</v>
      </c>
      <c r="B283" s="10">
        <v>2.0</v>
      </c>
      <c r="C283" s="11">
        <v>0.42569444444444443</v>
      </c>
      <c r="D283" s="10">
        <v>30.0</v>
      </c>
      <c r="E283" s="10">
        <v>1.0</v>
      </c>
      <c r="F283" s="10">
        <v>10.1</v>
      </c>
      <c r="G283" s="10">
        <v>33.19</v>
      </c>
      <c r="H283" s="10">
        <v>21.79</v>
      </c>
      <c r="I283">
        <f>9.23+32</f>
        <v>41.23</v>
      </c>
      <c r="J283" s="10">
        <v>33.1</v>
      </c>
      <c r="K283" s="10">
        <v>16.9</v>
      </c>
    </row>
    <row r="284">
      <c r="A284" s="10">
        <v>170502.0</v>
      </c>
      <c r="B284" s="10">
        <v>3.0</v>
      </c>
      <c r="C284" s="11">
        <v>0.42916666666666664</v>
      </c>
      <c r="D284" s="10">
        <v>2.0</v>
      </c>
      <c r="E284" s="10">
        <v>1.0</v>
      </c>
      <c r="F284" s="10">
        <v>10.98</v>
      </c>
      <c r="G284" s="10">
        <v>36.97</v>
      </c>
      <c r="H284" s="10">
        <v>22.92</v>
      </c>
      <c r="I284">
        <f>32+7.4</f>
        <v>39.4</v>
      </c>
      <c r="J284" s="10">
        <v>31.8</v>
      </c>
      <c r="K284" s="10">
        <v>16.1</v>
      </c>
    </row>
    <row r="285">
      <c r="A285" s="10">
        <v>170502.0</v>
      </c>
      <c r="B285" s="10">
        <v>4.0</v>
      </c>
      <c r="C285" s="11">
        <v>0.4326388888888889</v>
      </c>
      <c r="D285" s="10">
        <v>32.0</v>
      </c>
      <c r="E285" s="10">
        <v>1.0</v>
      </c>
      <c r="F285" s="10">
        <v>11.59</v>
      </c>
      <c r="G285" s="10">
        <v>21.15</v>
      </c>
      <c r="H285" s="10">
        <v>10.78</v>
      </c>
      <c r="I285" s="10">
        <v>0.0</v>
      </c>
      <c r="J285" s="10">
        <v>0.0</v>
      </c>
      <c r="K285" s="10">
        <v>0.0</v>
      </c>
    </row>
    <row r="286">
      <c r="A286" s="10">
        <v>170502.0</v>
      </c>
      <c r="B286" s="10">
        <v>5.0</v>
      </c>
      <c r="C286" s="11">
        <v>0.4354166666666667</v>
      </c>
      <c r="D286" s="10">
        <v>59.0</v>
      </c>
      <c r="E286" s="10">
        <v>1.0</v>
      </c>
      <c r="F286" s="10">
        <v>11.34</v>
      </c>
      <c r="G286" s="10">
        <v>22.09</v>
      </c>
      <c r="H286" s="10">
        <v>12.71</v>
      </c>
      <c r="I286" s="10">
        <v>10.03</v>
      </c>
      <c r="J286" s="10">
        <v>20.9</v>
      </c>
      <c r="K286" s="10">
        <v>4.0</v>
      </c>
    </row>
    <row r="287">
      <c r="A287" s="10">
        <v>170502.0</v>
      </c>
      <c r="B287" s="10">
        <v>6.0</v>
      </c>
      <c r="C287" s="11">
        <v>0.44166666666666665</v>
      </c>
      <c r="D287" s="10">
        <v>62.0</v>
      </c>
      <c r="E287" s="10">
        <v>1.0</v>
      </c>
      <c r="F287" s="10">
        <v>10.19</v>
      </c>
      <c r="G287" s="10">
        <v>39.32</v>
      </c>
      <c r="H287" s="10">
        <v>24.38</v>
      </c>
      <c r="I287">
        <f>32+22.39</f>
        <v>54.39</v>
      </c>
      <c r="J287" s="10">
        <v>35.0</v>
      </c>
      <c r="K287" s="10">
        <v>24.0</v>
      </c>
    </row>
    <row r="288">
      <c r="A288" s="10">
        <v>170503.0</v>
      </c>
      <c r="B288" s="10">
        <v>1.0</v>
      </c>
      <c r="C288" s="11">
        <v>0.41597222222222224</v>
      </c>
      <c r="D288" s="10">
        <v>15.0</v>
      </c>
      <c r="E288" s="10">
        <v>1.0</v>
      </c>
      <c r="F288" s="10">
        <v>11.81</v>
      </c>
      <c r="G288" s="10">
        <v>18.26</v>
      </c>
      <c r="H288" s="10">
        <v>10.94</v>
      </c>
      <c r="I288" s="10">
        <v>6.32</v>
      </c>
      <c r="J288" s="10">
        <v>26.2</v>
      </c>
      <c r="K288" s="10">
        <v>3.1</v>
      </c>
      <c r="M288" s="10" t="s">
        <v>189</v>
      </c>
    </row>
    <row r="289">
      <c r="A289" s="10">
        <v>170503.0</v>
      </c>
      <c r="B289" s="10">
        <v>2.0</v>
      </c>
      <c r="C289" s="11">
        <v>0.42777777777777776</v>
      </c>
      <c r="D289" s="10">
        <v>2.0</v>
      </c>
      <c r="E289" s="10">
        <v>1.0</v>
      </c>
      <c r="F289" s="10">
        <v>9.63</v>
      </c>
      <c r="G289" s="10">
        <v>31.72</v>
      </c>
      <c r="H289">
        <f>1.4+20.18</f>
        <v>21.58</v>
      </c>
      <c r="I289" s="10">
        <v>24.16</v>
      </c>
      <c r="J289" s="10">
        <v>29.5</v>
      </c>
      <c r="K289" s="10">
        <v>11.2</v>
      </c>
    </row>
    <row r="290">
      <c r="A290" s="10">
        <v>170503.0</v>
      </c>
      <c r="B290" s="10">
        <v>3.0</v>
      </c>
      <c r="C290" s="11">
        <v>0.4305555555555556</v>
      </c>
      <c r="D290" s="10">
        <v>37.0</v>
      </c>
      <c r="E290" s="10">
        <v>1.0</v>
      </c>
      <c r="F290" s="10">
        <v>13.8</v>
      </c>
      <c r="G290" s="10">
        <v>18.86</v>
      </c>
      <c r="H290" s="10">
        <v>11.47</v>
      </c>
      <c r="I290" s="10">
        <v>0.0</v>
      </c>
      <c r="J290" s="10">
        <v>0.0</v>
      </c>
      <c r="K290" s="10">
        <v>0.0</v>
      </c>
    </row>
    <row r="291">
      <c r="A291" s="10">
        <v>170504.0</v>
      </c>
      <c r="B291" s="10">
        <v>1.0</v>
      </c>
      <c r="C291" s="11">
        <v>0.41805555555555557</v>
      </c>
      <c r="D291" s="10">
        <v>2.0</v>
      </c>
      <c r="E291" s="10">
        <v>1.0</v>
      </c>
      <c r="F291" s="10">
        <v>11.28</v>
      </c>
      <c r="G291" s="10">
        <v>34.39</v>
      </c>
      <c r="H291" s="10">
        <v>21.72</v>
      </c>
      <c r="I291">
        <f>32+7.61</f>
        <v>39.61</v>
      </c>
      <c r="J291" s="10">
        <v>33.0</v>
      </c>
      <c r="K291" s="10">
        <v>16.1</v>
      </c>
    </row>
    <row r="292">
      <c r="A292" s="10">
        <v>170504.0</v>
      </c>
      <c r="B292" s="10">
        <v>2.0</v>
      </c>
      <c r="C292" s="11">
        <v>0.4222222222222222</v>
      </c>
      <c r="D292" s="10">
        <v>59.0</v>
      </c>
      <c r="E292" s="10">
        <v>1.0</v>
      </c>
      <c r="F292" s="10">
        <v>12.32</v>
      </c>
      <c r="G292" s="10">
        <v>19.12</v>
      </c>
      <c r="H292" s="10">
        <v>11.18</v>
      </c>
      <c r="I292" s="10">
        <v>8.53</v>
      </c>
      <c r="J292" s="10">
        <v>26.9</v>
      </c>
      <c r="K292" s="10">
        <v>4.4</v>
      </c>
    </row>
    <row r="293">
      <c r="A293" s="10">
        <v>170504.0</v>
      </c>
      <c r="B293" s="10">
        <v>3.0</v>
      </c>
      <c r="C293" s="11">
        <v>0.4263888888888889</v>
      </c>
      <c r="D293" s="10">
        <v>76.0</v>
      </c>
      <c r="E293" s="10">
        <v>1.0</v>
      </c>
      <c r="F293" s="10">
        <v>11.07</v>
      </c>
      <c r="G293" s="10">
        <v>34.95</v>
      </c>
      <c r="H293" s="10">
        <v>21.53</v>
      </c>
      <c r="I293" s="10">
        <f>19.35+32</f>
        <v>51.35</v>
      </c>
      <c r="J293" s="10">
        <v>32.1</v>
      </c>
      <c r="K293" s="10">
        <v>17.8</v>
      </c>
    </row>
    <row r="294">
      <c r="A294" s="10">
        <v>170504.0</v>
      </c>
      <c r="B294" s="10">
        <v>4.0</v>
      </c>
      <c r="C294" s="11">
        <v>0.4305555555555556</v>
      </c>
      <c r="D294" s="10">
        <v>73.0</v>
      </c>
      <c r="E294" s="10">
        <v>1.0</v>
      </c>
      <c r="F294" s="10">
        <v>10.44</v>
      </c>
      <c r="G294" s="10">
        <v>33.46</v>
      </c>
      <c r="H294" s="10">
        <v>22.59</v>
      </c>
      <c r="I294">
        <f>19.81+32</f>
        <v>51.81</v>
      </c>
      <c r="J294" s="10">
        <v>30.5</v>
      </c>
      <c r="K294" s="10">
        <v>18.2</v>
      </c>
    </row>
    <row r="295">
      <c r="A295" s="10">
        <v>170504.0</v>
      </c>
      <c r="B295" s="10">
        <v>5.0</v>
      </c>
      <c r="C295" s="11">
        <v>0.43472222222222223</v>
      </c>
      <c r="D295" s="10">
        <v>46.0</v>
      </c>
      <c r="E295" s="10">
        <v>2.0</v>
      </c>
      <c r="F295" s="10">
        <v>11.47</v>
      </c>
      <c r="G295" s="10">
        <v>22.29</v>
      </c>
      <c r="H295" s="10">
        <v>11.77</v>
      </c>
      <c r="I295">
        <f>6.81+0.47</f>
        <v>7.28</v>
      </c>
      <c r="J295" s="10">
        <v>25.6</v>
      </c>
      <c r="K295" s="10">
        <v>3.2</v>
      </c>
    </row>
    <row r="296">
      <c r="A296" s="10">
        <v>170504.0</v>
      </c>
      <c r="B296" s="10">
        <v>6.0</v>
      </c>
      <c r="C296" s="11">
        <v>0.4409722222222222</v>
      </c>
      <c r="D296" s="10">
        <v>32.0</v>
      </c>
      <c r="E296" s="10">
        <v>1.0</v>
      </c>
      <c r="F296" s="10">
        <v>12.33</v>
      </c>
      <c r="G296" s="10">
        <v>21.9</v>
      </c>
      <c r="H296" s="10">
        <v>11.27</v>
      </c>
      <c r="I296" s="10">
        <v>9.24</v>
      </c>
      <c r="J296" s="10">
        <v>22.9</v>
      </c>
      <c r="K296" s="10">
        <v>3.3</v>
      </c>
    </row>
    <row r="297">
      <c r="A297" s="10">
        <v>170505.0</v>
      </c>
      <c r="B297" s="10">
        <v>1.0</v>
      </c>
      <c r="C297" s="11">
        <v>0.4083333333333333</v>
      </c>
      <c r="D297" s="10">
        <v>58.0</v>
      </c>
      <c r="E297" s="10">
        <v>1.0</v>
      </c>
      <c r="F297" s="10">
        <v>10.14</v>
      </c>
      <c r="G297" s="10">
        <v>17.18</v>
      </c>
      <c r="H297" s="10">
        <v>10.57</v>
      </c>
      <c r="I297" s="10">
        <v>0.0</v>
      </c>
      <c r="J297" s="10">
        <v>0.0</v>
      </c>
      <c r="K297" s="10">
        <v>0.0</v>
      </c>
      <c r="M297" s="10" t="s">
        <v>191</v>
      </c>
    </row>
    <row r="298">
      <c r="A298" s="10">
        <v>170505.0</v>
      </c>
      <c r="B298" s="10">
        <v>2.0</v>
      </c>
      <c r="C298" s="11">
        <v>0.4111111111111111</v>
      </c>
      <c r="D298" s="10">
        <v>37.0</v>
      </c>
      <c r="E298" s="10">
        <v>1.0</v>
      </c>
      <c r="F298" s="10">
        <v>13.03</v>
      </c>
      <c r="G298" s="10">
        <v>2.8</v>
      </c>
      <c r="H298" s="10">
        <v>11.9</v>
      </c>
      <c r="I298" s="10">
        <v>11.41</v>
      </c>
      <c r="J298" s="10">
        <v>20.8</v>
      </c>
      <c r="K298" s="10">
        <v>4.8</v>
      </c>
    </row>
    <row r="299">
      <c r="A299" s="10">
        <v>170505.0</v>
      </c>
      <c r="B299" s="10">
        <v>3.0</v>
      </c>
      <c r="C299" s="11">
        <v>0.41597222222222224</v>
      </c>
      <c r="D299" s="10">
        <v>73.0</v>
      </c>
      <c r="E299" s="10">
        <v>1.0</v>
      </c>
      <c r="F299" s="10">
        <v>10.96</v>
      </c>
      <c r="G299" s="10">
        <v>36.67</v>
      </c>
      <c r="H299" s="10">
        <v>20.95</v>
      </c>
      <c r="I299" s="10">
        <v>31.57</v>
      </c>
      <c r="J299" s="10">
        <v>29.6</v>
      </c>
      <c r="K299" s="10">
        <v>12.8</v>
      </c>
    </row>
    <row r="300">
      <c r="A300" s="10">
        <v>170505.0</v>
      </c>
      <c r="B300" s="10">
        <v>4.0</v>
      </c>
      <c r="C300" s="11">
        <v>0.42083333333333334</v>
      </c>
      <c r="D300" s="10">
        <v>73.0</v>
      </c>
      <c r="E300" s="10">
        <v>1.0</v>
      </c>
      <c r="F300" s="10">
        <v>10.41</v>
      </c>
      <c r="G300" s="10">
        <v>36.4</v>
      </c>
      <c r="H300" s="10">
        <v>20.92</v>
      </c>
      <c r="I300" s="10">
        <v>29.28</v>
      </c>
      <c r="J300" s="10">
        <v>28.8</v>
      </c>
      <c r="K300" s="10">
        <v>12.1</v>
      </c>
    </row>
    <row r="301">
      <c r="A301" s="10">
        <v>170506.0</v>
      </c>
      <c r="B301" s="10">
        <v>1.0</v>
      </c>
      <c r="C301" s="11">
        <v>0.42916666666666664</v>
      </c>
      <c r="D301" s="10">
        <v>45.0</v>
      </c>
      <c r="E301" s="10">
        <v>1.0</v>
      </c>
      <c r="F301" s="10">
        <v>12.81</v>
      </c>
      <c r="G301" s="10">
        <v>23.91</v>
      </c>
      <c r="H301" s="10">
        <v>12.8</v>
      </c>
      <c r="I301" s="10">
        <v>6.0</v>
      </c>
      <c r="J301" s="10">
        <v>17.8</v>
      </c>
      <c r="K301" s="10">
        <v>2.0</v>
      </c>
      <c r="L301" s="10" t="s">
        <v>192</v>
      </c>
      <c r="M301" s="10" t="s">
        <v>193</v>
      </c>
    </row>
    <row r="302">
      <c r="A302" s="10">
        <v>170506.0</v>
      </c>
      <c r="B302" s="10">
        <v>2.0</v>
      </c>
      <c r="C302" s="11">
        <v>0.4326388888888889</v>
      </c>
      <c r="D302" s="10">
        <v>32.0</v>
      </c>
      <c r="E302" s="10">
        <v>1.0</v>
      </c>
      <c r="F302" s="10">
        <v>11.02</v>
      </c>
      <c r="G302" s="10">
        <v>17.67</v>
      </c>
      <c r="H302" s="10">
        <v>9.75</v>
      </c>
      <c r="I302" s="10">
        <v>0.0</v>
      </c>
      <c r="J302" s="10">
        <v>0.0</v>
      </c>
      <c r="K302" s="10">
        <v>0.0</v>
      </c>
      <c r="L302" s="10" t="s">
        <v>194</v>
      </c>
    </row>
    <row r="303">
      <c r="A303" s="10">
        <v>170506.0</v>
      </c>
      <c r="B303" s="10">
        <v>3.0</v>
      </c>
      <c r="C303" s="11">
        <v>0.4375</v>
      </c>
      <c r="D303" s="10">
        <v>37.0</v>
      </c>
      <c r="E303" s="10">
        <v>1.0</v>
      </c>
      <c r="F303" s="10">
        <v>12.79</v>
      </c>
      <c r="G303" s="10">
        <v>21.96</v>
      </c>
      <c r="H303" s="10">
        <v>12.56</v>
      </c>
      <c r="I303" s="10">
        <v>10.58</v>
      </c>
      <c r="J303" s="10">
        <v>24.5</v>
      </c>
      <c r="K303" s="10">
        <v>4.6</v>
      </c>
    </row>
    <row r="304">
      <c r="A304" s="10">
        <v>170507.0</v>
      </c>
      <c r="B304" s="10">
        <v>1.0</v>
      </c>
      <c r="C304" s="11">
        <v>0.4131944444444444</v>
      </c>
      <c r="D304" s="10">
        <v>37.0</v>
      </c>
      <c r="E304" s="10">
        <v>1.0</v>
      </c>
      <c r="F304" s="10">
        <v>12.31</v>
      </c>
      <c r="G304" s="10">
        <v>21.03</v>
      </c>
      <c r="H304" s="10">
        <v>11.66</v>
      </c>
      <c r="I304" s="10">
        <v>5.93</v>
      </c>
      <c r="J304" s="10">
        <v>42.0</v>
      </c>
      <c r="K304" s="10">
        <v>4.6</v>
      </c>
      <c r="M304" s="10" t="s">
        <v>195</v>
      </c>
    </row>
    <row r="305">
      <c r="A305" s="10">
        <v>170507.0</v>
      </c>
      <c r="B305" s="10">
        <v>2.0</v>
      </c>
      <c r="C305" s="11">
        <v>0.41597222222222224</v>
      </c>
      <c r="D305" s="10">
        <v>58.0</v>
      </c>
      <c r="E305" s="10">
        <v>1.0</v>
      </c>
      <c r="F305" s="10">
        <v>12.2</v>
      </c>
      <c r="G305" s="10">
        <v>20.44</v>
      </c>
      <c r="H305" s="10">
        <v>12.0</v>
      </c>
      <c r="I305" s="10">
        <v>2.69</v>
      </c>
      <c r="J305" s="10">
        <v>16.7</v>
      </c>
      <c r="K305" s="10">
        <v>0.4</v>
      </c>
    </row>
    <row r="306">
      <c r="A306" s="10">
        <v>170507.0</v>
      </c>
      <c r="B306" s="10">
        <v>3.0</v>
      </c>
      <c r="C306" s="11">
        <v>0.4201388888888889</v>
      </c>
      <c r="D306" s="10">
        <v>32.0</v>
      </c>
      <c r="E306" s="10">
        <v>1.0</v>
      </c>
      <c r="F306" s="10">
        <v>11.91</v>
      </c>
      <c r="G306" s="10">
        <v>22.66</v>
      </c>
      <c r="H306" s="10">
        <v>11.45</v>
      </c>
      <c r="I306">
        <f>10.49-0.33</f>
        <v>10.16</v>
      </c>
      <c r="J306" s="10">
        <v>21.1</v>
      </c>
      <c r="K306" s="10">
        <v>3.2</v>
      </c>
    </row>
    <row r="307">
      <c r="A307" s="10">
        <v>170511.0</v>
      </c>
      <c r="B307" s="10">
        <v>1.0</v>
      </c>
      <c r="C307" s="11">
        <v>0.4097222222222222</v>
      </c>
      <c r="D307" s="10">
        <v>91.0</v>
      </c>
      <c r="E307" s="10">
        <v>1.0</v>
      </c>
      <c r="F307" s="10">
        <v>11.97</v>
      </c>
      <c r="G307" s="10">
        <v>45.66</v>
      </c>
      <c r="H307" s="10">
        <v>28.34</v>
      </c>
      <c r="I307">
        <f>32+30.89+30.34</f>
        <v>93.23</v>
      </c>
      <c r="J307" s="10">
        <v>39.3</v>
      </c>
      <c r="K307" s="10">
        <v>27.0</v>
      </c>
      <c r="L307" s="10" t="s">
        <v>196</v>
      </c>
      <c r="M307" s="10" t="s">
        <v>197</v>
      </c>
    </row>
    <row r="308">
      <c r="A308" s="10">
        <v>170511.0</v>
      </c>
      <c r="B308" s="10">
        <v>2.0</v>
      </c>
      <c r="C308" s="11">
        <v>0.4125</v>
      </c>
      <c r="D308" s="10">
        <v>45.0</v>
      </c>
      <c r="E308" s="10">
        <v>1.0</v>
      </c>
      <c r="F308" s="10">
        <v>12.56</v>
      </c>
      <c r="G308" s="10">
        <v>22.03</v>
      </c>
      <c r="H308" s="10">
        <v>13.87</v>
      </c>
      <c r="I308" s="10">
        <v>3.55</v>
      </c>
      <c r="J308" s="10">
        <v>18.6</v>
      </c>
      <c r="K308" s="10">
        <v>1.2</v>
      </c>
      <c r="L308" s="10" t="s">
        <v>198</v>
      </c>
    </row>
    <row r="309">
      <c r="A309" s="10">
        <v>170511.0</v>
      </c>
      <c r="B309" s="10">
        <v>3.0</v>
      </c>
      <c r="C309" s="11">
        <v>0.41875</v>
      </c>
      <c r="D309" s="10">
        <v>73.0</v>
      </c>
      <c r="E309" s="10">
        <v>1.0</v>
      </c>
      <c r="F309" s="10">
        <v>10.33</v>
      </c>
      <c r="G309" s="10">
        <v>34.19</v>
      </c>
      <c r="H309" s="10">
        <v>22.32</v>
      </c>
      <c r="I309" s="10">
        <v>32.35</v>
      </c>
      <c r="J309" s="10">
        <v>28.1</v>
      </c>
      <c r="K309" s="10">
        <v>12.2</v>
      </c>
    </row>
    <row r="310">
      <c r="A310" s="10">
        <v>170516.0</v>
      </c>
      <c r="B310" s="10">
        <v>1.0</v>
      </c>
      <c r="C310" s="11">
        <v>0.4125</v>
      </c>
      <c r="D310" s="10">
        <v>45.0</v>
      </c>
      <c r="E310" s="10">
        <v>1.0</v>
      </c>
      <c r="F310" s="10">
        <v>11.03</v>
      </c>
      <c r="G310" s="10">
        <v>22.84</v>
      </c>
      <c r="H310" s="10">
        <v>13.27</v>
      </c>
      <c r="I310" s="10">
        <v>2.09</v>
      </c>
      <c r="J310" s="10">
        <v>39.0</v>
      </c>
      <c r="K310" s="10">
        <v>1.1</v>
      </c>
      <c r="M310" s="10" t="s">
        <v>199</v>
      </c>
    </row>
    <row r="311">
      <c r="A311" s="10">
        <v>170516.0</v>
      </c>
      <c r="B311" s="10">
        <v>2.0</v>
      </c>
      <c r="C311" s="11">
        <v>0.41597222222222224</v>
      </c>
      <c r="D311" s="10">
        <v>70.0</v>
      </c>
      <c r="E311" s="10">
        <v>1.0</v>
      </c>
      <c r="F311" s="10">
        <v>11.34</v>
      </c>
      <c r="G311" s="10">
        <v>20.03</v>
      </c>
      <c r="H311" s="10">
        <v>12.55</v>
      </c>
      <c r="I311" s="10">
        <v>1.47</v>
      </c>
      <c r="J311" s="10">
        <v>28.5</v>
      </c>
      <c r="K311" s="10">
        <v>0.6</v>
      </c>
    </row>
    <row r="312">
      <c r="A312" s="10">
        <v>170519.0</v>
      </c>
      <c r="B312" s="10">
        <v>1.0</v>
      </c>
      <c r="C312" s="11">
        <v>0.4201388888888889</v>
      </c>
      <c r="D312" s="10">
        <v>91.0</v>
      </c>
      <c r="E312" s="10">
        <v>1.0</v>
      </c>
      <c r="F312" s="10">
        <v>12.46</v>
      </c>
      <c r="G312" s="10">
        <v>45.07</v>
      </c>
      <c r="H312" s="10">
        <v>27.38</v>
      </c>
      <c r="I312">
        <f>96+4.61</f>
        <v>100.61</v>
      </c>
      <c r="J312" s="10">
        <v>39.3</v>
      </c>
      <c r="K312" s="10">
        <v>30.0</v>
      </c>
      <c r="M312" s="11">
        <v>0.41458333333333336</v>
      </c>
    </row>
    <row r="313">
      <c r="A313" s="10">
        <v>170523.0</v>
      </c>
      <c r="B313" s="10">
        <v>1.0</v>
      </c>
      <c r="C313" s="11">
        <v>0.4361111111111111</v>
      </c>
      <c r="D313" s="10">
        <v>91.0</v>
      </c>
      <c r="E313" s="10">
        <v>1.0</v>
      </c>
      <c r="F313" s="10">
        <v>12.01</v>
      </c>
      <c r="G313" s="10">
        <v>45.97</v>
      </c>
      <c r="H313" s="10">
        <v>27.15</v>
      </c>
      <c r="I313" s="10">
        <v>96.42</v>
      </c>
      <c r="J313" s="10">
        <v>39.1</v>
      </c>
      <c r="K313" s="10">
        <v>30.2</v>
      </c>
      <c r="M313" s="11">
        <v>0.42916666666666664</v>
      </c>
    </row>
    <row r="314">
      <c r="A314" s="10">
        <v>170525.0</v>
      </c>
      <c r="B314" s="10">
        <v>1.0</v>
      </c>
      <c r="C314" s="11">
        <v>0.4465277777777778</v>
      </c>
      <c r="D314" s="10">
        <v>19.0</v>
      </c>
      <c r="E314" s="10">
        <v>1.0</v>
      </c>
      <c r="F314" s="10">
        <v>10.91</v>
      </c>
      <c r="G314" s="10">
        <v>37.87</v>
      </c>
      <c r="H314" s="10">
        <v>22.45</v>
      </c>
      <c r="I314">
        <f>64+12.74</f>
        <v>76.74</v>
      </c>
      <c r="J314" s="10">
        <v>33.0</v>
      </c>
      <c r="K314" s="10">
        <v>21.0</v>
      </c>
      <c r="M314" s="11">
        <v>0.44166666666666665</v>
      </c>
    </row>
    <row r="315">
      <c r="A315" s="10">
        <v>170526.0</v>
      </c>
      <c r="B315" s="10">
        <v>1.0</v>
      </c>
      <c r="C315" s="11">
        <v>0.36527777777777776</v>
      </c>
      <c r="D315" s="10">
        <v>19.0</v>
      </c>
      <c r="E315" s="10">
        <v>1.0</v>
      </c>
      <c r="F315" s="10">
        <v>10.01</v>
      </c>
      <c r="G315" s="10">
        <v>34.57</v>
      </c>
      <c r="H315" s="10">
        <v>20.95</v>
      </c>
      <c r="I315">
        <f>32+3.62</f>
        <v>35.62</v>
      </c>
      <c r="J315" s="10">
        <v>33.7</v>
      </c>
      <c r="K315" s="10">
        <v>15.9</v>
      </c>
      <c r="M315" s="10" t="s">
        <v>200</v>
      </c>
    </row>
    <row r="316">
      <c r="A316" s="10">
        <v>170526.0</v>
      </c>
      <c r="B316" s="10">
        <v>2.0</v>
      </c>
      <c r="C316" s="11">
        <v>0.36875</v>
      </c>
      <c r="D316" s="10">
        <v>92.0</v>
      </c>
      <c r="E316" s="10">
        <v>1.0</v>
      </c>
      <c r="F316" s="10">
        <v>12.92</v>
      </c>
      <c r="G316" s="10">
        <v>24.26</v>
      </c>
      <c r="H316" s="10">
        <v>11.57</v>
      </c>
      <c r="I316" s="10">
        <v>6.61</v>
      </c>
      <c r="J316" s="10">
        <v>27.2</v>
      </c>
      <c r="K316" s="10">
        <v>3.6</v>
      </c>
    </row>
    <row r="317">
      <c r="A317" s="10">
        <v>170526.0</v>
      </c>
      <c r="B317" s="10">
        <v>3.0</v>
      </c>
      <c r="C317" s="11">
        <v>0.37222222222222223</v>
      </c>
      <c r="D317" s="10">
        <v>82.0</v>
      </c>
      <c r="E317" s="10">
        <v>1.0</v>
      </c>
      <c r="F317" s="10">
        <v>11.06</v>
      </c>
      <c r="G317" s="10">
        <v>42.67</v>
      </c>
      <c r="H317" s="10">
        <v>23.99</v>
      </c>
      <c r="I317" s="10">
        <f>32+10.71</f>
        <v>42.71</v>
      </c>
      <c r="J317" s="10">
        <v>29.7</v>
      </c>
      <c r="K317" s="10">
        <v>15.3</v>
      </c>
    </row>
    <row r="318">
      <c r="A318" s="10">
        <v>170526.0</v>
      </c>
      <c r="B318" s="10">
        <v>4.0</v>
      </c>
      <c r="C318" s="11">
        <v>0.3763888888888889</v>
      </c>
      <c r="D318" s="10">
        <v>70.0</v>
      </c>
      <c r="E318" s="10">
        <v>1.0</v>
      </c>
      <c r="F318" s="10">
        <v>13.97</v>
      </c>
      <c r="G318" s="10">
        <v>22.2</v>
      </c>
      <c r="H318" s="10">
        <v>12.55</v>
      </c>
      <c r="I318" s="10">
        <v>11.31</v>
      </c>
      <c r="J318" s="10">
        <v>24.6</v>
      </c>
      <c r="K318" s="10">
        <v>5.2</v>
      </c>
    </row>
    <row r="319">
      <c r="A319" s="10">
        <v>170526.0</v>
      </c>
      <c r="B319" s="10">
        <v>5.0</v>
      </c>
      <c r="C319" s="11">
        <v>0.3798611111111111</v>
      </c>
      <c r="D319" s="10">
        <v>19.0</v>
      </c>
      <c r="E319" s="10">
        <v>1.0</v>
      </c>
      <c r="F319" s="10">
        <v>11.29</v>
      </c>
      <c r="G319" s="10">
        <v>35.63</v>
      </c>
      <c r="H319" s="10">
        <v>23.34</v>
      </c>
      <c r="I319">
        <f>19.34+32</f>
        <v>51.34</v>
      </c>
      <c r="J319" s="10">
        <v>33.8</v>
      </c>
      <c r="K319" s="10">
        <v>18.2</v>
      </c>
    </row>
    <row r="320">
      <c r="A320" s="10">
        <v>170528.0</v>
      </c>
      <c r="B320" s="10">
        <v>1.0</v>
      </c>
      <c r="C320" s="11">
        <v>0.4444444444444444</v>
      </c>
      <c r="D320" s="10">
        <v>19.0</v>
      </c>
      <c r="E320" s="10">
        <v>2.0</v>
      </c>
      <c r="F320" s="10">
        <v>10.21</v>
      </c>
      <c r="G320" s="10">
        <v>36.28</v>
      </c>
      <c r="H320" s="10">
        <v>23.43</v>
      </c>
      <c r="I320">
        <f>21.1+32</f>
        <v>53.1</v>
      </c>
      <c r="J320" s="10">
        <v>30.8</v>
      </c>
      <c r="K320" s="10">
        <v>17.1</v>
      </c>
      <c r="M320" s="11">
        <v>0.4409722222222222</v>
      </c>
    </row>
    <row r="321">
      <c r="A321" s="10">
        <v>170530.0</v>
      </c>
      <c r="B321" s="10">
        <v>1.0</v>
      </c>
      <c r="C321" s="11">
        <v>0.4305555555555556</v>
      </c>
      <c r="D321" s="10">
        <v>99.0</v>
      </c>
      <c r="E321" s="10">
        <v>1.0</v>
      </c>
      <c r="F321" s="10">
        <v>11.29</v>
      </c>
      <c r="G321" s="10">
        <v>29.66</v>
      </c>
      <c r="H321" s="10">
        <v>16.88</v>
      </c>
      <c r="I321" s="10">
        <v>26.35</v>
      </c>
      <c r="J321" s="10">
        <v>24.5</v>
      </c>
      <c r="K321" s="10">
        <v>9.7</v>
      </c>
      <c r="M321" s="10" t="s">
        <v>201</v>
      </c>
    </row>
    <row r="322">
      <c r="A322" s="10">
        <v>170530.0</v>
      </c>
      <c r="B322" s="10">
        <v>2.0</v>
      </c>
      <c r="C322" s="11">
        <v>0.4340277777777778</v>
      </c>
      <c r="D322" s="10">
        <v>70.0</v>
      </c>
      <c r="E322" s="10">
        <v>1.0</v>
      </c>
      <c r="F322" s="10">
        <v>12.54</v>
      </c>
      <c r="G322" s="10">
        <v>22.86</v>
      </c>
      <c r="H322" s="10">
        <v>13.26</v>
      </c>
      <c r="I322">
        <f>6.5-0.22</f>
        <v>6.28</v>
      </c>
      <c r="J322" s="10">
        <v>22.6</v>
      </c>
      <c r="K322" s="10">
        <v>2.2</v>
      </c>
    </row>
    <row r="323">
      <c r="A323" s="10">
        <v>170531.0</v>
      </c>
      <c r="B323" s="10">
        <v>1.0</v>
      </c>
      <c r="C323" s="11">
        <v>0.4083333333333333</v>
      </c>
      <c r="D323" s="10">
        <v>19.0</v>
      </c>
      <c r="E323" s="10">
        <v>1.0</v>
      </c>
      <c r="F323" s="10">
        <v>11.23</v>
      </c>
      <c r="G323" s="10">
        <v>35.21</v>
      </c>
      <c r="H323" s="10">
        <v>21.95</v>
      </c>
      <c r="I323" s="10">
        <v>32.0</v>
      </c>
      <c r="J323" s="10">
        <v>31.5</v>
      </c>
      <c r="K323" s="10">
        <v>8.2</v>
      </c>
      <c r="L323" s="10" t="s">
        <v>203</v>
      </c>
      <c r="M323" s="11">
        <v>0.4048611111111111</v>
      </c>
    </row>
    <row r="324">
      <c r="A324" s="10">
        <v>170614.0</v>
      </c>
      <c r="B324" s="10">
        <v>1.0</v>
      </c>
      <c r="C324" s="11">
        <v>0.4305555555555556</v>
      </c>
      <c r="D324" s="10">
        <v>24.0</v>
      </c>
      <c r="E324" s="10">
        <v>1.0</v>
      </c>
      <c r="F324" s="10">
        <v>13.98</v>
      </c>
      <c r="G324" s="10">
        <v>52.28</v>
      </c>
      <c r="H324" s="10">
        <v>28.71</v>
      </c>
      <c r="I324">
        <f>64+30.66</f>
        <v>94.66</v>
      </c>
      <c r="J324" s="10">
        <v>38.3</v>
      </c>
      <c r="K324" s="10">
        <v>26.9</v>
      </c>
    </row>
    <row r="325">
      <c r="A325" s="10">
        <v>170614.0</v>
      </c>
      <c r="B325" s="10">
        <v>2.0</v>
      </c>
      <c r="C325" s="11">
        <v>0.43680555555555556</v>
      </c>
      <c r="D325" s="10"/>
      <c r="E325" s="10">
        <v>1.0</v>
      </c>
      <c r="F325" s="10">
        <v>14.86</v>
      </c>
      <c r="G325">
        <f>22.54+31.49</f>
        <v>54.03</v>
      </c>
      <c r="H325" s="10">
        <v>28.45</v>
      </c>
      <c r="I325">
        <f>96+19.95</f>
        <v>115.95</v>
      </c>
      <c r="J325" s="10">
        <v>38.7</v>
      </c>
      <c r="K325" s="10">
        <v>31.0</v>
      </c>
    </row>
    <row r="326">
      <c r="A326" s="10">
        <v>170615.0</v>
      </c>
      <c r="B326" s="10">
        <v>1.0</v>
      </c>
      <c r="C326" s="11">
        <v>0.45</v>
      </c>
      <c r="D326" s="10">
        <v>24.0</v>
      </c>
      <c r="E326" s="10">
        <v>1.0</v>
      </c>
      <c r="F326" s="10">
        <v>13.59</v>
      </c>
      <c r="G326" s="10">
        <v>52.0</v>
      </c>
      <c r="H326" s="10">
        <v>30.87</v>
      </c>
      <c r="I326">
        <f>96+10.89</f>
        <v>106.89</v>
      </c>
      <c r="J326" s="10">
        <v>38.0</v>
      </c>
      <c r="K326" s="10">
        <v>29.0</v>
      </c>
      <c r="M326" s="10" t="s">
        <v>207</v>
      </c>
    </row>
    <row r="327">
      <c r="A327" s="10">
        <v>170617.0</v>
      </c>
      <c r="B327" s="10">
        <v>1.0</v>
      </c>
      <c r="C327" s="11">
        <v>0.4215277777777778</v>
      </c>
      <c r="D327" s="10">
        <v>24.0</v>
      </c>
      <c r="E327" s="10">
        <v>1.0</v>
      </c>
      <c r="F327" s="10">
        <v>14.37</v>
      </c>
      <c r="G327" s="10">
        <v>52.65</v>
      </c>
      <c r="H327" s="10">
        <v>32.33</v>
      </c>
      <c r="I327">
        <f>96+16.13</f>
        <v>112.13</v>
      </c>
      <c r="J327" s="10">
        <v>36.5</v>
      </c>
      <c r="K327" s="10">
        <v>27.4</v>
      </c>
      <c r="M327" s="10" t="s">
        <v>208</v>
      </c>
    </row>
    <row r="328">
      <c r="A328" s="10">
        <v>170617.0</v>
      </c>
      <c r="B328" s="10">
        <v>2.0</v>
      </c>
      <c r="C328" s="11">
        <v>0.4263888888888889</v>
      </c>
      <c r="D328" s="10">
        <v>55.0</v>
      </c>
      <c r="E328" s="10">
        <v>1.0</v>
      </c>
      <c r="F328" s="10">
        <v>13.19</v>
      </c>
      <c r="G328" s="10">
        <v>45.08</v>
      </c>
      <c r="H328" s="10">
        <v>24.52</v>
      </c>
      <c r="I328">
        <f>64+23.78</f>
        <v>87.78</v>
      </c>
      <c r="J328" s="10">
        <v>37.5</v>
      </c>
      <c r="K328" s="10">
        <v>26.1</v>
      </c>
    </row>
    <row r="329">
      <c r="A329" s="10">
        <v>170619.0</v>
      </c>
      <c r="B329" s="10">
        <v>1.0</v>
      </c>
      <c r="C329" s="11">
        <v>0.42777777777777776</v>
      </c>
      <c r="D329" s="10">
        <v>55.0</v>
      </c>
      <c r="E329" s="10">
        <v>1.0</v>
      </c>
      <c r="F329" s="10">
        <v>11.11</v>
      </c>
      <c r="G329" s="10">
        <v>41.6</v>
      </c>
      <c r="H329" s="10">
        <v>24.38</v>
      </c>
      <c r="I329">
        <f>64+7.38</f>
        <v>71.38</v>
      </c>
      <c r="J329" s="10">
        <v>36.9</v>
      </c>
      <c r="K329" s="10">
        <v>27.5</v>
      </c>
      <c r="M329" s="11">
        <v>0.4215277777777778</v>
      </c>
    </row>
    <row r="330">
      <c r="A330" s="10">
        <v>170621.0</v>
      </c>
      <c r="B330" s="10">
        <v>1.0</v>
      </c>
      <c r="C330" s="11">
        <v>0.4215277777777778</v>
      </c>
      <c r="D330" s="10">
        <v>92.0</v>
      </c>
      <c r="E330" s="10">
        <v>1.0</v>
      </c>
      <c r="F330" s="10">
        <v>11.25</v>
      </c>
      <c r="G330" s="10">
        <v>20.81</v>
      </c>
      <c r="H330" s="10">
        <v>12.12</v>
      </c>
      <c r="I330" s="10">
        <v>4.27</v>
      </c>
      <c r="J330" s="10">
        <v>26.6</v>
      </c>
      <c r="K330" s="10">
        <v>3.0</v>
      </c>
    </row>
    <row r="331">
      <c r="A331" s="10">
        <v>170706.0</v>
      </c>
      <c r="B331" s="10">
        <v>1.0</v>
      </c>
      <c r="C331" s="11">
        <v>0.4048611111111111</v>
      </c>
      <c r="D331" s="10">
        <v>55.0</v>
      </c>
      <c r="E331" s="10">
        <v>4.0</v>
      </c>
      <c r="F331" s="10">
        <v>9.95</v>
      </c>
      <c r="G331" s="10">
        <v>42.81</v>
      </c>
      <c r="H331" s="10">
        <v>24.01</v>
      </c>
      <c r="I331" s="10">
        <v>22.07</v>
      </c>
      <c r="J331" s="10">
        <v>33.2</v>
      </c>
      <c r="K331" s="10">
        <v>12.5</v>
      </c>
      <c r="M331" s="10" t="s">
        <v>210</v>
      </c>
    </row>
    <row r="332">
      <c r="A332" s="10">
        <v>170706.0</v>
      </c>
      <c r="B332" s="10">
        <v>2.0</v>
      </c>
      <c r="C332" s="11">
        <v>0.4083333333333333</v>
      </c>
      <c r="D332" s="10">
        <v>92.0</v>
      </c>
      <c r="E332" s="10">
        <v>1.0</v>
      </c>
      <c r="F332" s="10">
        <v>11.64</v>
      </c>
      <c r="G332" s="10">
        <v>22.8</v>
      </c>
      <c r="H332" s="10">
        <v>12.27</v>
      </c>
      <c r="I332" s="10">
        <v>4.34</v>
      </c>
      <c r="J332" s="10">
        <v>39.3</v>
      </c>
      <c r="K332" s="10">
        <v>3.9</v>
      </c>
    </row>
    <row r="333">
      <c r="A333" s="10">
        <v>170706.0</v>
      </c>
      <c r="B333" s="10">
        <v>3.0</v>
      </c>
      <c r="C333" s="11">
        <v>0.4131944444444444</v>
      </c>
      <c r="D333" s="10">
        <v>55.0</v>
      </c>
      <c r="E333" s="10">
        <v>3.0</v>
      </c>
      <c r="F333" s="10">
        <v>9.78</v>
      </c>
      <c r="G333" s="10">
        <v>39.64</v>
      </c>
      <c r="H333" s="10">
        <v>23.12</v>
      </c>
      <c r="I333">
        <f>15.11+30.37</f>
        <v>45.48</v>
      </c>
      <c r="J333" s="10">
        <v>37.2</v>
      </c>
      <c r="K333" s="10">
        <v>20.7</v>
      </c>
    </row>
    <row r="334">
      <c r="A334" s="10">
        <v>170706.0</v>
      </c>
      <c r="B334" s="10">
        <v>4.0</v>
      </c>
      <c r="C334" s="11">
        <v>0.4166666666666667</v>
      </c>
      <c r="D334" s="10">
        <v>92.0</v>
      </c>
      <c r="E334" s="10">
        <v>1.0</v>
      </c>
      <c r="F334" s="10">
        <v>13.35</v>
      </c>
      <c r="G334" s="10">
        <v>21.5</v>
      </c>
      <c r="H334" s="10">
        <v>10.88</v>
      </c>
      <c r="I334" s="10">
        <v>3.97</v>
      </c>
      <c r="J334" s="10">
        <v>27.1</v>
      </c>
      <c r="K334" s="10">
        <v>2.1</v>
      </c>
    </row>
    <row r="335">
      <c r="A335" s="10">
        <v>170713.0</v>
      </c>
      <c r="B335" s="10">
        <v>1.0</v>
      </c>
      <c r="C335" s="11">
        <v>0.41805555555555557</v>
      </c>
      <c r="D335" s="10">
        <v>99.0</v>
      </c>
      <c r="E335" s="10">
        <v>2.0</v>
      </c>
      <c r="F335" s="10">
        <v>11.37</v>
      </c>
      <c r="G335" s="10">
        <v>29.14</v>
      </c>
      <c r="H335" s="10">
        <v>16.08</v>
      </c>
      <c r="I335">
        <f>4.94+2.4</f>
        <v>7.34</v>
      </c>
      <c r="J335" s="10">
        <v>25.0</v>
      </c>
      <c r="K335" s="10">
        <v>3.6</v>
      </c>
    </row>
    <row r="336">
      <c r="A336" s="10">
        <v>170716.0</v>
      </c>
      <c r="B336" s="10">
        <v>1.0</v>
      </c>
      <c r="C336" s="11">
        <v>0.42916666666666664</v>
      </c>
      <c r="D336" s="10">
        <v>104.0</v>
      </c>
      <c r="E336" s="10">
        <v>1.0</v>
      </c>
      <c r="F336" s="10">
        <v>12.76</v>
      </c>
      <c r="G336" s="10">
        <v>37.39</v>
      </c>
      <c r="H336">
        <f>22.28+1.76</f>
        <v>24.04</v>
      </c>
      <c r="I336">
        <f>11.62+32</f>
        <v>43.62</v>
      </c>
      <c r="J336" s="10">
        <v>32.4</v>
      </c>
      <c r="K336" s="10">
        <v>17.0</v>
      </c>
      <c r="M336" s="11">
        <v>0.42430555555555555</v>
      </c>
    </row>
    <row r="337">
      <c r="A337" s="10">
        <v>170717.0</v>
      </c>
      <c r="B337" s="10">
        <v>1.0</v>
      </c>
      <c r="C337" s="11">
        <v>0.39861111111111114</v>
      </c>
      <c r="D337" s="10">
        <v>66.0</v>
      </c>
      <c r="E337" s="10">
        <v>1.0</v>
      </c>
      <c r="F337" s="10">
        <v>11.37</v>
      </c>
      <c r="G337" s="10">
        <v>49.56</v>
      </c>
      <c r="H337" s="10">
        <v>29.33</v>
      </c>
      <c r="I337">
        <f>64+20.5</f>
        <v>84.5</v>
      </c>
      <c r="J337" s="10">
        <v>34.4</v>
      </c>
      <c r="K337" s="10">
        <v>23.6</v>
      </c>
      <c r="M337" s="11">
        <v>0.39375</v>
      </c>
    </row>
    <row r="338">
      <c r="A338" s="10">
        <v>170717.0</v>
      </c>
      <c r="B338" s="10">
        <v>2.0</v>
      </c>
      <c r="C338" s="11">
        <v>0.40208333333333335</v>
      </c>
      <c r="D338" s="10">
        <v>98.0</v>
      </c>
      <c r="E338" s="10">
        <v>1.0</v>
      </c>
      <c r="F338" s="10">
        <v>11.94</v>
      </c>
      <c r="G338" s="10">
        <v>38.53</v>
      </c>
      <c r="H338" s="10">
        <v>24.36</v>
      </c>
      <c r="I338" s="10">
        <v>21.05</v>
      </c>
      <c r="J338" s="10">
        <v>33.6</v>
      </c>
      <c r="K338" s="10">
        <v>12.3</v>
      </c>
    </row>
    <row r="339">
      <c r="A339" s="10">
        <v>170718.0</v>
      </c>
      <c r="B339" s="10">
        <v>1.0</v>
      </c>
      <c r="C339" s="11">
        <v>0.4284722222222222</v>
      </c>
      <c r="D339" s="10">
        <v>66.0</v>
      </c>
      <c r="E339" s="10">
        <v>1.0</v>
      </c>
      <c r="F339" s="10">
        <v>10.97</v>
      </c>
      <c r="G339" s="10">
        <v>50.55</v>
      </c>
      <c r="H339" s="10">
        <v>29.7</v>
      </c>
      <c r="I339">
        <f>30.23+64</f>
        <v>94.23</v>
      </c>
      <c r="J339" s="10">
        <v>34.1</v>
      </c>
      <c r="K339" s="10">
        <v>23.2</v>
      </c>
    </row>
    <row r="340">
      <c r="A340" s="10">
        <v>170718.0</v>
      </c>
      <c r="B340" s="10">
        <v>2.0</v>
      </c>
      <c r="C340" s="11">
        <v>0.43194444444444446</v>
      </c>
      <c r="D340" s="10">
        <v>98.0</v>
      </c>
      <c r="E340" s="10">
        <v>1.0</v>
      </c>
      <c r="F340" s="10">
        <v>10.55</v>
      </c>
      <c r="G340" s="10">
        <v>40.22</v>
      </c>
      <c r="H340" s="10">
        <v>23.5</v>
      </c>
      <c r="I340" s="10">
        <v>24.44</v>
      </c>
      <c r="J340" s="10">
        <v>31.2</v>
      </c>
      <c r="K340" s="10">
        <v>19.8</v>
      </c>
      <c r="M340" s="10" t="s">
        <v>212</v>
      </c>
    </row>
    <row r="341">
      <c r="A341" s="10">
        <v>170718.0</v>
      </c>
      <c r="B341" s="10">
        <v>3.0</v>
      </c>
      <c r="C341" s="11">
        <v>0.43680555555555556</v>
      </c>
      <c r="D341" s="10" t="s">
        <v>49</v>
      </c>
      <c r="E341" s="10">
        <v>1.0</v>
      </c>
      <c r="F341" s="10">
        <v>12.58</v>
      </c>
      <c r="G341" s="10">
        <v>42.6</v>
      </c>
      <c r="H341" s="10">
        <v>27.85</v>
      </c>
      <c r="I341">
        <f>23.65+32</f>
        <v>55.65</v>
      </c>
      <c r="J341" s="10">
        <v>38.0</v>
      </c>
      <c r="K341" s="10">
        <v>22.4</v>
      </c>
    </row>
    <row r="342">
      <c r="A342" s="10">
        <v>170718.0</v>
      </c>
      <c r="B342" s="10">
        <v>4.0</v>
      </c>
      <c r="C342" s="11">
        <v>0.44166666666666665</v>
      </c>
      <c r="D342" s="10">
        <v>104.0</v>
      </c>
      <c r="E342" s="10">
        <v>1.0</v>
      </c>
      <c r="F342" s="10">
        <v>13.25</v>
      </c>
      <c r="G342" s="10">
        <v>38.2</v>
      </c>
      <c r="H342" s="10">
        <v>24.29</v>
      </c>
      <c r="I342">
        <f>10.74+32</f>
        <v>42.74</v>
      </c>
      <c r="J342" s="10">
        <v>31.7</v>
      </c>
      <c r="K342" s="10">
        <v>16.8</v>
      </c>
    </row>
    <row r="343">
      <c r="A343" s="10">
        <v>170719.0</v>
      </c>
      <c r="B343" s="10">
        <v>1.0</v>
      </c>
      <c r="C343" s="11">
        <v>0.43194444444444446</v>
      </c>
      <c r="D343" s="10">
        <v>98.0</v>
      </c>
      <c r="E343" s="10">
        <v>1.0</v>
      </c>
      <c r="F343" s="10">
        <v>11.08</v>
      </c>
      <c r="G343" s="10">
        <v>41.06</v>
      </c>
      <c r="H343" s="10">
        <v>22.87</v>
      </c>
      <c r="I343" s="10">
        <v>17.29</v>
      </c>
      <c r="J343" s="10">
        <v>33.4</v>
      </c>
      <c r="K343" s="10">
        <v>10.2</v>
      </c>
      <c r="M343" s="10" t="s">
        <v>213</v>
      </c>
    </row>
    <row r="344">
      <c r="A344" s="10">
        <v>170719.0</v>
      </c>
      <c r="B344" s="10">
        <v>2.0</v>
      </c>
      <c r="C344" s="11">
        <v>0.43680555555555556</v>
      </c>
      <c r="D344" s="10">
        <v>66.0</v>
      </c>
      <c r="E344" s="10">
        <v>1.0</v>
      </c>
      <c r="F344" s="10">
        <v>10.56</v>
      </c>
      <c r="G344" s="10">
        <v>47.75</v>
      </c>
      <c r="H344" s="10">
        <v>29.12</v>
      </c>
      <c r="I344">
        <f>64+8.18</f>
        <v>72.18</v>
      </c>
      <c r="J344" s="10">
        <v>35.6</v>
      </c>
      <c r="K344" s="10">
        <v>23.4</v>
      </c>
    </row>
    <row r="345">
      <c r="A345" s="10">
        <v>170720.0</v>
      </c>
      <c r="B345" s="10">
        <v>1.0</v>
      </c>
      <c r="C345" s="11">
        <v>0.4222222222222222</v>
      </c>
      <c r="D345" s="10">
        <v>114.0</v>
      </c>
      <c r="E345" s="10">
        <v>1.0</v>
      </c>
      <c r="F345" s="10">
        <v>10.89</v>
      </c>
      <c r="G345" s="10">
        <v>51.85</v>
      </c>
      <c r="H345" s="10">
        <v>27.97</v>
      </c>
      <c r="I345">
        <f>12.89+64</f>
        <v>76.89</v>
      </c>
      <c r="J345" s="10">
        <v>38.1</v>
      </c>
      <c r="K345" s="10">
        <v>25.2</v>
      </c>
      <c r="M345" s="11">
        <v>0.41388888888888886</v>
      </c>
    </row>
    <row r="346">
      <c r="A346" s="10">
        <v>170720.0</v>
      </c>
      <c r="D346" s="10"/>
      <c r="I346" s="10">
        <v>18.95</v>
      </c>
      <c r="J346" s="10" t="s">
        <v>214</v>
      </c>
      <c r="K346" s="10">
        <v>26.8</v>
      </c>
      <c r="L346" s="10" t="s">
        <v>215</v>
      </c>
      <c r="M346" s="10">
        <v>114.0</v>
      </c>
    </row>
    <row r="347">
      <c r="A347" s="10">
        <v>170724.0</v>
      </c>
      <c r="B347" s="10">
        <v>1.0</v>
      </c>
      <c r="C347" s="11">
        <v>0.4215277777777778</v>
      </c>
      <c r="D347" s="10">
        <v>114.0</v>
      </c>
      <c r="E347" s="10">
        <v>1.0</v>
      </c>
      <c r="F347" s="10">
        <v>10.56</v>
      </c>
      <c r="G347" s="10">
        <v>52.16</v>
      </c>
      <c r="H347" s="10">
        <v>31.61</v>
      </c>
      <c r="I347">
        <f>64+27.6</f>
        <v>91.6</v>
      </c>
      <c r="J347" s="10">
        <v>34.7</v>
      </c>
      <c r="K347" s="10">
        <v>24.9</v>
      </c>
      <c r="M347" s="11">
        <v>0.41597222222222224</v>
      </c>
    </row>
    <row r="348">
      <c r="A348" s="10">
        <v>170724.0</v>
      </c>
      <c r="B348" s="10">
        <v>2.0</v>
      </c>
      <c r="C348" s="11">
        <v>0.42777777777777776</v>
      </c>
      <c r="D348" s="10" t="s">
        <v>49</v>
      </c>
      <c r="E348" s="10">
        <v>1.0</v>
      </c>
      <c r="F348" s="10">
        <v>12.52</v>
      </c>
      <c r="G348" s="10">
        <v>47.09</v>
      </c>
      <c r="H348" s="10">
        <v>26.64</v>
      </c>
      <c r="I348">
        <f>8.39+30.9+30.33</f>
        <v>69.62</v>
      </c>
      <c r="J348" s="10">
        <v>37.4</v>
      </c>
      <c r="K348" s="10">
        <v>23.5</v>
      </c>
    </row>
    <row r="349">
      <c r="A349" s="10">
        <v>170724.0</v>
      </c>
      <c r="B349" s="10">
        <v>3.0</v>
      </c>
      <c r="C349" s="11">
        <v>0.4305555555555556</v>
      </c>
      <c r="D349" s="10">
        <v>128.0</v>
      </c>
      <c r="E349" s="10">
        <v>2.0</v>
      </c>
      <c r="F349" s="10">
        <v>9.05</v>
      </c>
      <c r="G349" s="10">
        <v>18.71</v>
      </c>
      <c r="H349" s="10">
        <v>10.95</v>
      </c>
      <c r="I349" s="10">
        <v>1.13</v>
      </c>
      <c r="J349" s="10">
        <v>16.7</v>
      </c>
      <c r="K349" s="10">
        <v>0.2</v>
      </c>
    </row>
    <row r="350">
      <c r="A350" s="10">
        <v>170724.0</v>
      </c>
      <c r="B350" s="10"/>
      <c r="C350" s="11">
        <v>0.18472222222222223</v>
      </c>
      <c r="D350" s="10"/>
      <c r="E350" s="10">
        <v>2.0</v>
      </c>
      <c r="F350" s="10">
        <v>8.69</v>
      </c>
      <c r="G350" s="10">
        <v>18.79</v>
      </c>
      <c r="H350" s="10">
        <v>10.97</v>
      </c>
      <c r="I350" s="10">
        <v>0.98</v>
      </c>
      <c r="K350" s="10">
        <v>0.5</v>
      </c>
      <c r="L350" s="10">
        <v>128.0</v>
      </c>
    </row>
    <row r="351">
      <c r="A351" s="10">
        <v>170725.0</v>
      </c>
      <c r="B351" s="10">
        <v>1.0</v>
      </c>
      <c r="C351" s="11">
        <v>0.41875</v>
      </c>
      <c r="D351" s="10">
        <v>130.0</v>
      </c>
      <c r="E351" s="10">
        <v>9.0</v>
      </c>
      <c r="F351" s="10">
        <v>8.98</v>
      </c>
      <c r="G351" s="10">
        <v>19.64</v>
      </c>
      <c r="H351" s="10">
        <v>10.96</v>
      </c>
      <c r="I351" s="10">
        <v>9.91</v>
      </c>
      <c r="J351" s="10">
        <v>30.2</v>
      </c>
      <c r="K351" s="10">
        <v>5.9</v>
      </c>
      <c r="M351" s="10" t="s">
        <v>216</v>
      </c>
    </row>
    <row r="352">
      <c r="A352" s="10">
        <v>170725.0</v>
      </c>
      <c r="B352" s="10">
        <v>2.0</v>
      </c>
      <c r="C352" s="11">
        <v>0.4222222222222222</v>
      </c>
      <c r="D352" s="10">
        <v>132.0</v>
      </c>
      <c r="E352" s="10">
        <v>1.0</v>
      </c>
      <c r="F352" s="10">
        <v>10.51</v>
      </c>
      <c r="G352" s="10">
        <v>23.96</v>
      </c>
      <c r="H352" s="10">
        <v>11.99</v>
      </c>
      <c r="I352" s="10">
        <v>21.91</v>
      </c>
      <c r="J352" s="10">
        <v>33.7</v>
      </c>
      <c r="K352" s="10">
        <v>12.1</v>
      </c>
    </row>
    <row r="353">
      <c r="A353" s="10">
        <v>170725.0</v>
      </c>
      <c r="B353" s="10">
        <v>3.0</v>
      </c>
      <c r="C353" s="11">
        <v>0.4263888888888889</v>
      </c>
      <c r="D353" s="10">
        <v>128.0</v>
      </c>
      <c r="E353" s="10">
        <v>2.0</v>
      </c>
      <c r="F353" s="10">
        <v>10.05</v>
      </c>
      <c r="G353" s="10">
        <v>20.3</v>
      </c>
      <c r="H353" s="10">
        <v>11.12</v>
      </c>
      <c r="I353" s="10">
        <v>1.88</v>
      </c>
      <c r="J353" s="10">
        <v>44.2</v>
      </c>
      <c r="K353" s="10">
        <v>1.8</v>
      </c>
    </row>
    <row r="354">
      <c r="A354" s="10">
        <v>170725.0</v>
      </c>
      <c r="B354" s="10">
        <v>4.0</v>
      </c>
      <c r="C354" s="11">
        <v>0.42986111111111114</v>
      </c>
      <c r="D354" s="10">
        <v>120.0</v>
      </c>
      <c r="E354" s="10">
        <v>2.0</v>
      </c>
      <c r="F354" s="10">
        <v>9.9</v>
      </c>
      <c r="G354" s="10">
        <v>20.11</v>
      </c>
      <c r="H354" s="10">
        <v>11.76</v>
      </c>
      <c r="I354" s="10">
        <v>14.06</v>
      </c>
      <c r="J354" s="10">
        <v>29.0</v>
      </c>
      <c r="K354" s="10">
        <v>7.9</v>
      </c>
    </row>
    <row r="355">
      <c r="A355" s="10">
        <v>170725.0</v>
      </c>
      <c r="C355" s="11">
        <v>0.1951388888888889</v>
      </c>
      <c r="D355" s="10"/>
      <c r="E355" s="10">
        <v>2.0</v>
      </c>
      <c r="F355" s="10">
        <v>9.3</v>
      </c>
      <c r="G355" s="10">
        <v>19.95</v>
      </c>
      <c r="H355" s="10">
        <v>11.08</v>
      </c>
      <c r="I355" s="10">
        <v>11.25</v>
      </c>
      <c r="J355" s="10">
        <v>44.8</v>
      </c>
      <c r="K355" s="10">
        <v>9.3</v>
      </c>
      <c r="L355" s="10">
        <v>128.0</v>
      </c>
    </row>
    <row r="356">
      <c r="A356" s="10">
        <v>170725.0</v>
      </c>
      <c r="C356" s="11">
        <v>0.1986111111111111</v>
      </c>
      <c r="D356" s="10"/>
      <c r="E356" s="10">
        <v>1.0</v>
      </c>
      <c r="F356" s="10">
        <v>10.28</v>
      </c>
      <c r="G356" s="10">
        <v>22.57</v>
      </c>
      <c r="H356" s="10">
        <v>11.76</v>
      </c>
      <c r="I356" s="10">
        <v>11.3</v>
      </c>
      <c r="J356" s="10">
        <v>46.4</v>
      </c>
      <c r="K356" s="10">
        <v>10.5</v>
      </c>
      <c r="L356" s="10">
        <v>132.0</v>
      </c>
    </row>
    <row r="357">
      <c r="A357" s="10">
        <v>170726.0</v>
      </c>
      <c r="B357" s="10">
        <v>1.0</v>
      </c>
      <c r="C357" s="11">
        <v>0.42430555555555555</v>
      </c>
      <c r="D357" s="10">
        <v>128.0</v>
      </c>
      <c r="E357" s="10">
        <v>2.0</v>
      </c>
      <c r="F357" s="10">
        <v>9.99</v>
      </c>
      <c r="G357" s="10">
        <v>18.63</v>
      </c>
      <c r="H357" s="10">
        <v>11.13</v>
      </c>
      <c r="I357" s="10">
        <v>6.78</v>
      </c>
      <c r="J357" s="10">
        <v>34.8</v>
      </c>
      <c r="K357" s="10">
        <v>4.8</v>
      </c>
      <c r="M357" s="10" t="s">
        <v>217</v>
      </c>
    </row>
    <row r="358">
      <c r="A358" s="10">
        <v>170726.0</v>
      </c>
      <c r="B358" s="10">
        <v>2.0</v>
      </c>
      <c r="C358" s="11">
        <v>0.42777777777777776</v>
      </c>
      <c r="D358" s="10">
        <v>126.0</v>
      </c>
      <c r="E358" s="10">
        <v>1.0</v>
      </c>
      <c r="F358" s="10">
        <v>11.33</v>
      </c>
      <c r="G358" s="10">
        <v>21.24</v>
      </c>
      <c r="H358" s="10">
        <v>12.19</v>
      </c>
      <c r="I358" s="10">
        <v>14.53</v>
      </c>
      <c r="J358" s="10">
        <v>34.8</v>
      </c>
      <c r="K358" s="10">
        <v>10.0</v>
      </c>
    </row>
    <row r="359">
      <c r="A359" s="10">
        <v>170726.0</v>
      </c>
      <c r="B359" s="10">
        <v>3.0</v>
      </c>
      <c r="C359" s="11">
        <v>0.4305555555555556</v>
      </c>
      <c r="D359" s="10">
        <v>120.0</v>
      </c>
      <c r="E359" s="10">
        <v>1.0</v>
      </c>
      <c r="F359" s="10">
        <v>10.25</v>
      </c>
      <c r="G359" s="10">
        <v>20.34</v>
      </c>
      <c r="H359" s="10">
        <v>11.46</v>
      </c>
      <c r="I359" s="10">
        <v>8.86</v>
      </c>
      <c r="J359" s="10">
        <v>29.9</v>
      </c>
      <c r="K359" s="10">
        <v>5.2</v>
      </c>
    </row>
    <row r="360">
      <c r="A360" s="10">
        <v>170726.0</v>
      </c>
      <c r="B360" s="10">
        <v>4.0</v>
      </c>
      <c r="C360" s="11">
        <v>0.4340277777777778</v>
      </c>
      <c r="D360" s="10">
        <v>129.0</v>
      </c>
      <c r="E360" s="10" t="s">
        <v>218</v>
      </c>
      <c r="F360" s="10">
        <v>9.36</v>
      </c>
      <c r="G360" s="10">
        <v>20.64</v>
      </c>
      <c r="H360" s="10">
        <v>11.53</v>
      </c>
      <c r="I360" s="10">
        <v>6.54</v>
      </c>
      <c r="J360" s="10">
        <v>26.7</v>
      </c>
      <c r="K360" s="10">
        <v>3.6</v>
      </c>
    </row>
    <row r="361">
      <c r="A361" s="10">
        <v>170726.0</v>
      </c>
      <c r="B361" s="10">
        <v>5.0</v>
      </c>
      <c r="C361" s="11">
        <v>0.4375</v>
      </c>
      <c r="D361" s="10">
        <v>133.0</v>
      </c>
      <c r="E361" s="10">
        <v>4.0</v>
      </c>
      <c r="F361" s="10">
        <v>11.73</v>
      </c>
      <c r="G361" s="10">
        <v>20.85</v>
      </c>
      <c r="H361" s="10">
        <v>12.18</v>
      </c>
      <c r="I361" s="10">
        <v>12.94</v>
      </c>
      <c r="J361" s="10">
        <v>33.0</v>
      </c>
      <c r="K361" s="10">
        <v>7.9</v>
      </c>
    </row>
    <row r="362">
      <c r="A362" s="10">
        <v>170726.0</v>
      </c>
      <c r="B362" s="10">
        <v>6.0</v>
      </c>
      <c r="C362" s="11">
        <v>0.44166666666666665</v>
      </c>
      <c r="D362" s="10">
        <v>122.0</v>
      </c>
      <c r="E362" s="10">
        <v>1.0</v>
      </c>
      <c r="F362" s="10">
        <v>12.47</v>
      </c>
      <c r="G362" s="10">
        <v>19.34</v>
      </c>
      <c r="H362" s="10">
        <v>11.12</v>
      </c>
      <c r="I362" s="10">
        <v>11.56</v>
      </c>
      <c r="J362" s="10">
        <v>31.3</v>
      </c>
      <c r="K362" s="10">
        <v>7.1</v>
      </c>
    </row>
    <row r="363">
      <c r="A363" s="10">
        <v>170726.0</v>
      </c>
      <c r="B363" s="10">
        <v>7.0</v>
      </c>
      <c r="C363" s="11">
        <v>0.44513888888888886</v>
      </c>
      <c r="D363" s="10">
        <v>119.0</v>
      </c>
      <c r="E363" s="10">
        <v>3.0</v>
      </c>
      <c r="F363" s="10">
        <v>9.12</v>
      </c>
      <c r="G363" s="10">
        <v>18.19</v>
      </c>
      <c r="H363" s="10">
        <v>11.74</v>
      </c>
      <c r="I363" s="10">
        <v>0.77</v>
      </c>
      <c r="K363" s="10">
        <v>0.6</v>
      </c>
    </row>
    <row r="364">
      <c r="A364" s="10">
        <v>170726.0</v>
      </c>
      <c r="B364" s="10">
        <v>8.0</v>
      </c>
      <c r="C364" s="11">
        <v>0.44930555555555557</v>
      </c>
      <c r="D364" s="10">
        <v>130.0</v>
      </c>
      <c r="E364" s="10">
        <v>1.0</v>
      </c>
      <c r="F364" s="10">
        <v>10.17</v>
      </c>
      <c r="G364" s="10">
        <v>21.35</v>
      </c>
      <c r="H364" s="10">
        <v>12.02</v>
      </c>
      <c r="I364" s="10">
        <v>21.3</v>
      </c>
      <c r="J364" s="10">
        <v>31.7</v>
      </c>
      <c r="K364" s="10">
        <v>10.5</v>
      </c>
    </row>
    <row r="365">
      <c r="A365" s="10">
        <v>170726.0</v>
      </c>
      <c r="B365" s="10">
        <v>9.0</v>
      </c>
      <c r="C365" s="11">
        <v>0.4534722222222222</v>
      </c>
      <c r="D365" s="10">
        <v>121.0</v>
      </c>
      <c r="E365" s="10">
        <v>1.0</v>
      </c>
      <c r="F365" s="10">
        <v>10.77</v>
      </c>
      <c r="G365" s="10">
        <v>18.53</v>
      </c>
      <c r="H365" s="10">
        <v>10.61</v>
      </c>
      <c r="I365" s="10">
        <v>2.97</v>
      </c>
      <c r="J365" s="10">
        <v>47.0</v>
      </c>
      <c r="K365" s="10">
        <v>2.7</v>
      </c>
    </row>
    <row r="366">
      <c r="A366" s="10">
        <v>170727.0</v>
      </c>
      <c r="B366" s="10">
        <v>1.0</v>
      </c>
      <c r="C366" s="11">
        <v>0.42430555555555555</v>
      </c>
      <c r="D366" s="10">
        <v>126.0</v>
      </c>
      <c r="E366" s="10">
        <v>2.0</v>
      </c>
      <c r="F366" s="10">
        <v>10.6</v>
      </c>
      <c r="G366" s="10">
        <v>18.68</v>
      </c>
      <c r="H366" s="10">
        <v>11.24</v>
      </c>
      <c r="I366" s="10">
        <v>0.5</v>
      </c>
      <c r="K366" s="10">
        <v>0.1</v>
      </c>
      <c r="M366" s="10" t="s">
        <v>219</v>
      </c>
    </row>
    <row r="367">
      <c r="A367" s="10">
        <v>170727.0</v>
      </c>
      <c r="B367" s="10">
        <v>2.0</v>
      </c>
      <c r="C367" s="11">
        <v>0.4284722222222222</v>
      </c>
      <c r="D367" s="10">
        <v>136.0</v>
      </c>
      <c r="E367" s="10">
        <v>1.0</v>
      </c>
      <c r="F367" s="10">
        <v>11.81</v>
      </c>
      <c r="G367" s="10">
        <v>19.55</v>
      </c>
      <c r="H367" s="10">
        <v>10.94</v>
      </c>
      <c r="I367" s="10">
        <v>10.45</v>
      </c>
      <c r="J367" s="10">
        <v>34.7</v>
      </c>
      <c r="K367" s="10">
        <v>7.9</v>
      </c>
    </row>
    <row r="368">
      <c r="A368" s="10">
        <v>170727.0</v>
      </c>
      <c r="B368" s="10">
        <v>3.0</v>
      </c>
      <c r="C368" s="11">
        <v>0.43194444444444446</v>
      </c>
      <c r="D368" s="10">
        <v>133.0</v>
      </c>
      <c r="E368" s="10">
        <v>1.0</v>
      </c>
      <c r="F368" s="10">
        <v>12.37</v>
      </c>
      <c r="G368" s="10">
        <v>19.49</v>
      </c>
      <c r="H368" s="10">
        <v>10.69</v>
      </c>
      <c r="I368" s="10">
        <v>8.94</v>
      </c>
      <c r="J368" s="10">
        <v>32.4</v>
      </c>
      <c r="K368" s="10">
        <v>5.6</v>
      </c>
    </row>
    <row r="369">
      <c r="A369" s="10">
        <v>170727.0</v>
      </c>
      <c r="B369" s="10">
        <v>4.0</v>
      </c>
      <c r="C369" s="11">
        <v>0.4375</v>
      </c>
      <c r="D369" s="10">
        <v>129.0</v>
      </c>
      <c r="E369" s="10">
        <v>8.0</v>
      </c>
      <c r="F369" s="10">
        <v>8.86</v>
      </c>
      <c r="G369" s="10">
        <v>23.07</v>
      </c>
      <c r="H369" s="10">
        <v>12.05</v>
      </c>
      <c r="I369" s="10">
        <v>7.09</v>
      </c>
      <c r="J369" s="10">
        <v>27.8</v>
      </c>
      <c r="K369" s="10">
        <v>4.1</v>
      </c>
    </row>
    <row r="370">
      <c r="A370" s="10">
        <v>170727.0</v>
      </c>
      <c r="B370" s="10">
        <v>5.0</v>
      </c>
      <c r="C370" s="11">
        <v>0.4409722222222222</v>
      </c>
      <c r="D370" s="10">
        <v>135.0</v>
      </c>
      <c r="E370" s="10">
        <v>2.0</v>
      </c>
      <c r="F370" s="10">
        <v>11.49</v>
      </c>
      <c r="G370" s="10">
        <v>19.62</v>
      </c>
      <c r="H370" s="10">
        <v>11.24</v>
      </c>
      <c r="I370" s="10">
        <v>8.76</v>
      </c>
      <c r="J370" s="10">
        <v>30.6</v>
      </c>
      <c r="K370" s="10">
        <v>5.1</v>
      </c>
    </row>
    <row r="371">
      <c r="A371" s="10">
        <v>170727.0</v>
      </c>
      <c r="B371" s="10">
        <v>6.0</v>
      </c>
      <c r="C371" s="11">
        <v>0.44375</v>
      </c>
      <c r="D371" s="10">
        <v>122.0</v>
      </c>
      <c r="E371" s="10">
        <v>1.0</v>
      </c>
      <c r="F371" s="10">
        <v>11.4</v>
      </c>
      <c r="G371" s="10">
        <v>19.0</v>
      </c>
      <c r="H371" s="10">
        <v>10.88</v>
      </c>
      <c r="I371" s="10">
        <v>10.24</v>
      </c>
      <c r="J371" s="10">
        <v>29.1</v>
      </c>
      <c r="K371" s="10">
        <v>5.2</v>
      </c>
    </row>
    <row r="372">
      <c r="A372" s="10">
        <v>170727.0</v>
      </c>
      <c r="B372" s="10">
        <v>7.0</v>
      </c>
      <c r="C372" s="11">
        <v>0.44722222222222224</v>
      </c>
      <c r="D372" s="10">
        <v>120.0</v>
      </c>
      <c r="E372" s="10">
        <v>1.0</v>
      </c>
      <c r="F372" s="10">
        <v>10.08</v>
      </c>
      <c r="G372" s="10">
        <v>22.06</v>
      </c>
      <c r="H372" s="10">
        <v>11.97</v>
      </c>
      <c r="I372" s="10">
        <v>23.12</v>
      </c>
      <c r="J372" s="10">
        <v>32.4</v>
      </c>
      <c r="K372" s="10">
        <v>7.1</v>
      </c>
    </row>
    <row r="373">
      <c r="A373" s="10">
        <v>170727.0</v>
      </c>
      <c r="B373" s="10">
        <v>8.0</v>
      </c>
      <c r="C373" s="11">
        <v>0.45069444444444445</v>
      </c>
      <c r="D373" s="10">
        <v>130.0</v>
      </c>
      <c r="E373" s="10">
        <v>3.0</v>
      </c>
      <c r="F373" s="10">
        <v>9.25</v>
      </c>
      <c r="G373" s="10">
        <v>22.6</v>
      </c>
      <c r="H373" s="10">
        <v>12.07</v>
      </c>
      <c r="I373" s="10">
        <v>15.31</v>
      </c>
      <c r="J373" s="10">
        <v>32.3</v>
      </c>
      <c r="K373" s="10">
        <v>9.2</v>
      </c>
    </row>
    <row r="374">
      <c r="A374" s="10">
        <v>170727.0</v>
      </c>
      <c r="B374" s="10">
        <v>9.0</v>
      </c>
      <c r="C374" s="11">
        <v>0.45416666666666666</v>
      </c>
      <c r="D374" s="10">
        <v>121.0</v>
      </c>
      <c r="E374" s="10">
        <v>1.0</v>
      </c>
      <c r="F374" s="10">
        <v>12.16</v>
      </c>
      <c r="G374" s="10">
        <v>20.32</v>
      </c>
      <c r="H374" s="10">
        <v>11.05</v>
      </c>
      <c r="I374">
        <f>9.29-1.3</f>
        <v>7.99</v>
      </c>
      <c r="J374" s="10">
        <v>30.1</v>
      </c>
      <c r="K374" s="10">
        <v>5.0</v>
      </c>
    </row>
    <row r="375">
      <c r="A375" s="10">
        <v>170728.0</v>
      </c>
      <c r="B375" s="10">
        <v>1.0</v>
      </c>
      <c r="C375" s="11">
        <v>0.43333333333333335</v>
      </c>
      <c r="D375" s="10">
        <v>135.0</v>
      </c>
      <c r="E375" s="10">
        <v>2.0</v>
      </c>
      <c r="F375" s="10">
        <v>11.79</v>
      </c>
      <c r="G375" s="10">
        <v>18.57</v>
      </c>
      <c r="H375" s="10">
        <v>10.99</v>
      </c>
      <c r="I375">
        <f>9.73-0.4</f>
        <v>9.33</v>
      </c>
      <c r="J375" s="10">
        <v>26.2</v>
      </c>
      <c r="K375" s="10">
        <v>5.1</v>
      </c>
      <c r="M375" s="10" t="s">
        <v>220</v>
      </c>
    </row>
    <row r="376">
      <c r="A376" s="10">
        <v>170728.0</v>
      </c>
      <c r="B376" s="10">
        <v>2.0</v>
      </c>
      <c r="C376" s="11">
        <v>0.43680555555555556</v>
      </c>
      <c r="D376" s="10">
        <v>132.0</v>
      </c>
      <c r="E376" s="10">
        <v>1.0</v>
      </c>
      <c r="F376" s="10">
        <v>10.82</v>
      </c>
      <c r="G376" s="10">
        <v>23.25</v>
      </c>
      <c r="H376" s="10">
        <v>11.47</v>
      </c>
      <c r="I376" s="10">
        <v>4.5</v>
      </c>
      <c r="J376" s="10">
        <v>26.7</v>
      </c>
      <c r="K376" s="10">
        <v>2.0</v>
      </c>
    </row>
    <row r="377">
      <c r="A377" s="10">
        <v>170728.0</v>
      </c>
      <c r="B377" s="10">
        <v>3.0</v>
      </c>
      <c r="C377" s="11">
        <v>0.4395833333333333</v>
      </c>
      <c r="D377" s="10">
        <v>128.0</v>
      </c>
      <c r="E377" s="10">
        <v>1.0</v>
      </c>
      <c r="F377" s="10">
        <v>8.88</v>
      </c>
      <c r="G377" s="10">
        <v>19.8</v>
      </c>
      <c r="H377" s="10">
        <v>10.69</v>
      </c>
      <c r="I377" s="10">
        <v>5.27</v>
      </c>
      <c r="J377" s="10">
        <v>26.4</v>
      </c>
      <c r="K377" s="10">
        <v>2.9</v>
      </c>
    </row>
    <row r="378">
      <c r="A378" s="10">
        <v>170728.0</v>
      </c>
      <c r="B378" s="10">
        <v>4.0</v>
      </c>
      <c r="C378" s="11">
        <v>0.44305555555555554</v>
      </c>
      <c r="D378" s="10">
        <v>133.0</v>
      </c>
      <c r="E378" s="10">
        <v>2.0</v>
      </c>
      <c r="F378" s="10">
        <v>10.59</v>
      </c>
      <c r="G378" s="10">
        <v>20.27</v>
      </c>
      <c r="H378" s="10">
        <v>11.15</v>
      </c>
      <c r="I378" s="10">
        <v>8.92</v>
      </c>
      <c r="J378" s="10">
        <v>35.3</v>
      </c>
      <c r="K378" s="10">
        <v>6.8</v>
      </c>
    </row>
    <row r="379">
      <c r="A379" s="10">
        <v>170728.0</v>
      </c>
      <c r="B379" s="10">
        <v>5.0</v>
      </c>
      <c r="C379" s="11">
        <v>0.4465277777777778</v>
      </c>
      <c r="D379" s="10">
        <v>120.0</v>
      </c>
      <c r="E379" s="10">
        <v>2.0</v>
      </c>
      <c r="F379" s="10">
        <v>9.8</v>
      </c>
      <c r="G379" s="10">
        <v>19.92</v>
      </c>
      <c r="H379" s="10">
        <v>11.27</v>
      </c>
      <c r="I379" s="10">
        <v>6.02</v>
      </c>
      <c r="J379" s="10">
        <v>28.0</v>
      </c>
      <c r="K379" s="10">
        <v>3.4</v>
      </c>
    </row>
    <row r="380">
      <c r="A380" s="10">
        <v>170728.0</v>
      </c>
      <c r="B380" s="10">
        <v>6.0</v>
      </c>
      <c r="C380" s="11">
        <v>0.45</v>
      </c>
      <c r="D380" s="10">
        <v>121.0</v>
      </c>
      <c r="E380" s="10">
        <v>1.0</v>
      </c>
      <c r="F380" s="10">
        <v>12.45</v>
      </c>
      <c r="G380" s="10">
        <v>19.66</v>
      </c>
      <c r="H380" s="10">
        <v>11.01</v>
      </c>
      <c r="I380" s="10">
        <v>12.36</v>
      </c>
      <c r="J380" s="10">
        <v>35.1</v>
      </c>
      <c r="K380" s="10">
        <v>8.6</v>
      </c>
    </row>
    <row r="381">
      <c r="A381" s="10">
        <v>170728.0</v>
      </c>
      <c r="B381" s="10">
        <v>7.0</v>
      </c>
      <c r="C381" s="11">
        <v>0.4534722222222222</v>
      </c>
      <c r="D381" s="10">
        <v>125.0</v>
      </c>
      <c r="E381" s="10">
        <v>1.0</v>
      </c>
      <c r="F381" s="10">
        <v>11.72</v>
      </c>
      <c r="G381" s="10">
        <v>23.27</v>
      </c>
      <c r="H381" s="10">
        <v>13.0</v>
      </c>
      <c r="I381" s="10">
        <v>7.35</v>
      </c>
      <c r="J381" s="10">
        <v>31.6</v>
      </c>
      <c r="K381" s="10">
        <v>4.2</v>
      </c>
    </row>
    <row r="382">
      <c r="A382" s="10">
        <v>170730.0</v>
      </c>
      <c r="B382" s="10">
        <v>1.0</v>
      </c>
      <c r="C382" s="11">
        <v>0.42986111111111114</v>
      </c>
      <c r="D382" s="10">
        <v>137.0</v>
      </c>
      <c r="E382" s="10">
        <v>1.0</v>
      </c>
      <c r="F382" s="10">
        <v>12.04</v>
      </c>
      <c r="G382" s="10">
        <v>18.36</v>
      </c>
      <c r="H382" s="10">
        <v>11.02</v>
      </c>
      <c r="I382" s="10">
        <v>5.19</v>
      </c>
      <c r="J382" s="10">
        <v>31.3</v>
      </c>
      <c r="K382" s="10">
        <v>3.4</v>
      </c>
    </row>
    <row r="383">
      <c r="A383" s="10">
        <v>170730.0</v>
      </c>
      <c r="B383" s="10">
        <v>2.0</v>
      </c>
      <c r="C383" s="11">
        <v>0.43333333333333335</v>
      </c>
      <c r="D383" s="10">
        <v>121.0</v>
      </c>
      <c r="E383" s="10">
        <v>1.0</v>
      </c>
      <c r="F383" s="10">
        <v>10.15</v>
      </c>
      <c r="G383" s="10">
        <v>17.12</v>
      </c>
      <c r="H383" s="10">
        <v>10.11</v>
      </c>
      <c r="I383" s="10">
        <v>4.14</v>
      </c>
      <c r="J383" s="10">
        <v>36.4</v>
      </c>
      <c r="K383" s="10">
        <v>3.2</v>
      </c>
    </row>
    <row r="384">
      <c r="A384" s="10">
        <v>170730.0</v>
      </c>
      <c r="B384" s="10">
        <v>3.0</v>
      </c>
      <c r="C384" s="11">
        <v>0.4361111111111111</v>
      </c>
      <c r="D384" s="10">
        <v>135.0</v>
      </c>
      <c r="E384" s="10">
        <v>1.0</v>
      </c>
      <c r="F384" s="10">
        <v>11.54</v>
      </c>
      <c r="G384" s="10">
        <v>19.14</v>
      </c>
      <c r="H384" s="10">
        <v>10.84</v>
      </c>
      <c r="I384" s="10">
        <v>9.15</v>
      </c>
      <c r="J384" s="10">
        <v>31.7</v>
      </c>
      <c r="K384" s="10">
        <v>5.2</v>
      </c>
    </row>
    <row r="385">
      <c r="A385" s="10">
        <v>170730.0</v>
      </c>
      <c r="B385" s="10">
        <v>4.0</v>
      </c>
      <c r="C385" s="11">
        <v>0.4388888888888889</v>
      </c>
      <c r="D385" s="10">
        <v>132.0</v>
      </c>
      <c r="E385" s="10">
        <v>1.0</v>
      </c>
      <c r="F385" s="10">
        <v>10.01</v>
      </c>
      <c r="G385" s="10">
        <v>23.41</v>
      </c>
      <c r="H385" s="10">
        <v>12.19</v>
      </c>
      <c r="I385" s="10">
        <v>0.0</v>
      </c>
      <c r="J385" s="10">
        <v>0.0</v>
      </c>
      <c r="K385" s="10">
        <v>0.0</v>
      </c>
    </row>
    <row r="386">
      <c r="A386" s="10">
        <v>170731.0</v>
      </c>
      <c r="B386" s="10">
        <v>1.0</v>
      </c>
      <c r="C386" s="11">
        <v>0.4215277777777778</v>
      </c>
      <c r="D386" s="10">
        <v>132.0</v>
      </c>
      <c r="E386" s="10">
        <v>1.0</v>
      </c>
      <c r="F386" s="10">
        <v>9.64</v>
      </c>
      <c r="G386" s="10">
        <v>23.46</v>
      </c>
      <c r="H386" s="10">
        <v>11.48</v>
      </c>
      <c r="I386" s="10">
        <v>16.48</v>
      </c>
      <c r="J386" s="10">
        <v>27.1</v>
      </c>
      <c r="K386" s="10">
        <v>7.5</v>
      </c>
      <c r="M386" s="10" t="s">
        <v>221</v>
      </c>
    </row>
    <row r="387">
      <c r="A387" s="10">
        <v>170731.0</v>
      </c>
      <c r="B387" s="10">
        <v>2.0</v>
      </c>
      <c r="C387" s="11">
        <v>0.425</v>
      </c>
      <c r="D387" s="10">
        <v>136.0</v>
      </c>
      <c r="E387" s="10">
        <v>1.0</v>
      </c>
      <c r="F387" s="10">
        <v>13.28</v>
      </c>
      <c r="G387" s="10">
        <v>21.04</v>
      </c>
      <c r="H387" s="10">
        <v>11.19</v>
      </c>
      <c r="I387" s="10">
        <v>13.41</v>
      </c>
      <c r="J387" s="10">
        <v>32.0</v>
      </c>
      <c r="K387" s="10">
        <v>8.0</v>
      </c>
    </row>
    <row r="388">
      <c r="A388" s="10">
        <v>170731.0</v>
      </c>
      <c r="B388" s="10">
        <v>3.0</v>
      </c>
      <c r="C388" s="11">
        <v>0.4284722222222222</v>
      </c>
      <c r="D388" s="10">
        <v>125.0</v>
      </c>
      <c r="E388" s="10">
        <v>1.0</v>
      </c>
      <c r="F388" s="10">
        <v>11.92</v>
      </c>
      <c r="G388" s="10">
        <v>19.01</v>
      </c>
      <c r="H388" s="10">
        <v>12.22</v>
      </c>
      <c r="I388" s="10">
        <v>2.38</v>
      </c>
      <c r="J388" s="10">
        <v>40.2</v>
      </c>
      <c r="K388" s="10">
        <v>1.6</v>
      </c>
      <c r="M388" s="10" t="s">
        <v>222</v>
      </c>
    </row>
    <row r="389">
      <c r="A389" s="10">
        <v>170731.0</v>
      </c>
      <c r="B389" s="10">
        <v>4.0</v>
      </c>
      <c r="C389" s="11">
        <v>0.4326388888888889</v>
      </c>
      <c r="D389" s="10">
        <v>127.0</v>
      </c>
      <c r="E389" s="10">
        <v>1.0</v>
      </c>
      <c r="F389" s="10">
        <v>12.5</v>
      </c>
      <c r="G389" s="10">
        <v>23.39</v>
      </c>
      <c r="H389" s="10">
        <v>11.92</v>
      </c>
      <c r="I389" s="10">
        <v>17.81</v>
      </c>
      <c r="J389" s="10">
        <v>35.2</v>
      </c>
      <c r="K389" s="10">
        <v>10.6</v>
      </c>
    </row>
    <row r="390">
      <c r="A390" s="10">
        <v>170801.0</v>
      </c>
      <c r="B390" s="10">
        <v>1.0</v>
      </c>
      <c r="C390" s="11">
        <v>0.4201388888888889</v>
      </c>
      <c r="D390" s="10">
        <v>125.0</v>
      </c>
      <c r="E390" s="10">
        <v>2.0</v>
      </c>
      <c r="F390" s="10">
        <v>10.62</v>
      </c>
      <c r="G390" s="10">
        <v>18.51</v>
      </c>
      <c r="H390" s="10">
        <v>10.85</v>
      </c>
      <c r="I390" s="10">
        <v>0.0</v>
      </c>
      <c r="J390" s="10">
        <v>0.0</v>
      </c>
      <c r="K390" s="10">
        <v>0.0</v>
      </c>
      <c r="M390" s="10" t="s">
        <v>223</v>
      </c>
    </row>
    <row r="391">
      <c r="A391" s="10">
        <v>170801.0</v>
      </c>
      <c r="B391" s="10">
        <v>2.0</v>
      </c>
      <c r="C391" s="11">
        <v>0.42430555555555555</v>
      </c>
      <c r="D391" s="10">
        <v>122.0</v>
      </c>
      <c r="E391" s="10">
        <v>1.0</v>
      </c>
      <c r="F391" s="10">
        <v>12.1</v>
      </c>
      <c r="G391" s="10">
        <v>20.77</v>
      </c>
      <c r="H391" s="10">
        <v>11.27</v>
      </c>
      <c r="I391">
        <f>12.7-0.78</f>
        <v>11.92</v>
      </c>
      <c r="J391" s="10">
        <v>32.0</v>
      </c>
      <c r="K391" s="10">
        <v>6.9</v>
      </c>
    </row>
    <row r="392">
      <c r="A392" s="10">
        <v>170801.0</v>
      </c>
      <c r="B392" s="10">
        <v>3.0</v>
      </c>
      <c r="C392" s="11">
        <v>0.42777777777777776</v>
      </c>
      <c r="D392" s="10">
        <v>126.0</v>
      </c>
      <c r="E392" s="10">
        <v>1.0</v>
      </c>
      <c r="F392" s="10">
        <v>10.82</v>
      </c>
      <c r="G392" s="10">
        <v>20.3</v>
      </c>
      <c r="H392" s="10">
        <v>11.91</v>
      </c>
      <c r="I392" s="10">
        <v>3.91</v>
      </c>
      <c r="J392" s="10">
        <v>36.7</v>
      </c>
      <c r="K392" s="10">
        <v>2.9</v>
      </c>
    </row>
    <row r="393">
      <c r="A393" s="10">
        <v>170801.0</v>
      </c>
      <c r="B393" s="10">
        <v>4.0</v>
      </c>
      <c r="C393" s="11">
        <v>0.43125</v>
      </c>
      <c r="D393" s="10">
        <v>129.0</v>
      </c>
      <c r="E393" s="10">
        <v>10.0</v>
      </c>
      <c r="F393" s="10">
        <v>9.7</v>
      </c>
      <c r="G393" s="10">
        <v>21.25</v>
      </c>
      <c r="H393" s="10">
        <v>11.81</v>
      </c>
      <c r="I393" s="10">
        <v>14.77</v>
      </c>
      <c r="J393" s="10">
        <v>27.5</v>
      </c>
      <c r="K393" s="10">
        <v>7.4</v>
      </c>
    </row>
    <row r="394">
      <c r="A394" s="10">
        <v>170801.0</v>
      </c>
      <c r="B394" s="10">
        <v>5.0</v>
      </c>
      <c r="C394" s="11">
        <v>0.4340277777777778</v>
      </c>
      <c r="D394" s="10">
        <v>136.0</v>
      </c>
      <c r="E394" s="10">
        <v>1.0</v>
      </c>
      <c r="F394" s="10">
        <v>10.86</v>
      </c>
      <c r="G394" s="10">
        <v>18.38</v>
      </c>
      <c r="H394" s="10">
        <v>10.58</v>
      </c>
      <c r="I394" s="10">
        <v>5.24</v>
      </c>
      <c r="J394" s="10">
        <v>40.1</v>
      </c>
      <c r="K394" s="10">
        <v>5.0</v>
      </c>
    </row>
    <row r="395">
      <c r="A395" s="10">
        <v>170802.0</v>
      </c>
      <c r="B395" s="10">
        <v>1.0</v>
      </c>
      <c r="C395" s="11">
        <v>0.45416666666666666</v>
      </c>
      <c r="D395" s="10">
        <v>126.0</v>
      </c>
      <c r="E395" s="10">
        <v>1.0</v>
      </c>
      <c r="F395" s="10">
        <v>10.56</v>
      </c>
      <c r="G395" s="10">
        <v>20.02</v>
      </c>
      <c r="H395" s="10">
        <v>11.71</v>
      </c>
      <c r="I395" s="10">
        <v>9.15</v>
      </c>
      <c r="J395" s="10">
        <v>31.3</v>
      </c>
      <c r="K395" s="10">
        <v>6.1</v>
      </c>
    </row>
    <row r="396">
      <c r="A396" s="10">
        <v>170802.0</v>
      </c>
      <c r="B396" s="10">
        <v>2.0</v>
      </c>
      <c r="C396" s="11">
        <v>0.45625</v>
      </c>
      <c r="D396" s="10">
        <v>125.0</v>
      </c>
      <c r="E396" s="10">
        <v>2.0</v>
      </c>
      <c r="F396" s="10">
        <v>11.51</v>
      </c>
      <c r="G396" s="10">
        <v>21.56</v>
      </c>
      <c r="H396" s="10">
        <v>11.97</v>
      </c>
      <c r="I396" s="10">
        <v>5.65</v>
      </c>
      <c r="J396" s="10">
        <v>29.9</v>
      </c>
      <c r="K396" s="10">
        <v>3.1</v>
      </c>
    </row>
    <row r="397">
      <c r="A397" s="10">
        <v>170802.0</v>
      </c>
      <c r="B397" s="10">
        <v>3.0</v>
      </c>
      <c r="C397" s="11">
        <v>0.45902777777777776</v>
      </c>
      <c r="D397" s="10">
        <v>127.0</v>
      </c>
      <c r="E397" s="10">
        <v>2.0</v>
      </c>
      <c r="F397" s="10">
        <v>10.76</v>
      </c>
      <c r="G397" s="10">
        <v>21.39</v>
      </c>
      <c r="H397" s="10">
        <v>10.4</v>
      </c>
      <c r="I397" s="10">
        <v>8.16</v>
      </c>
      <c r="J397" s="10">
        <v>43.0</v>
      </c>
      <c r="K397" s="10">
        <v>6.8</v>
      </c>
    </row>
    <row r="398">
      <c r="A398" s="10">
        <v>170802.0</v>
      </c>
      <c r="B398" s="10">
        <v>4.0</v>
      </c>
      <c r="C398" s="11">
        <v>0.4618055555555556</v>
      </c>
      <c r="D398" s="10">
        <v>131.0</v>
      </c>
      <c r="E398" s="10">
        <v>1.0</v>
      </c>
      <c r="F398" s="10">
        <v>9.75</v>
      </c>
      <c r="G398" s="10">
        <v>19.26</v>
      </c>
      <c r="H398" s="10">
        <v>10.81</v>
      </c>
      <c r="I398" s="10">
        <v>4.02</v>
      </c>
      <c r="J398" s="10">
        <v>31.5</v>
      </c>
      <c r="K398" s="10">
        <v>1.8</v>
      </c>
      <c r="M398" s="10" t="s">
        <v>224</v>
      </c>
    </row>
    <row r="399">
      <c r="A399" s="10">
        <v>170802.0</v>
      </c>
      <c r="B399" s="10">
        <v>5.0</v>
      </c>
      <c r="C399" s="11">
        <v>0.4652777777777778</v>
      </c>
      <c r="D399" s="10">
        <v>136.0</v>
      </c>
      <c r="E399" s="10">
        <v>3.0</v>
      </c>
      <c r="F399" s="10">
        <v>11.92</v>
      </c>
      <c r="G399" s="10">
        <v>21.29</v>
      </c>
      <c r="H399" s="10">
        <v>11.89</v>
      </c>
      <c r="I399" s="10">
        <v>15.64</v>
      </c>
      <c r="J399" s="10">
        <v>34.2</v>
      </c>
      <c r="K399" s="10">
        <v>9.2</v>
      </c>
    </row>
    <row r="400">
      <c r="A400" s="10">
        <v>170802.0</v>
      </c>
      <c r="B400" s="10">
        <v>6.0</v>
      </c>
      <c r="C400" s="11">
        <v>0.46875</v>
      </c>
      <c r="D400" s="10">
        <v>125.0</v>
      </c>
      <c r="E400" s="10">
        <v>1.0</v>
      </c>
      <c r="F400" s="10">
        <v>11.85</v>
      </c>
      <c r="G400" s="10">
        <v>23.6</v>
      </c>
      <c r="H400" s="10">
        <v>12.81</v>
      </c>
      <c r="I400" s="10">
        <v>15.65</v>
      </c>
      <c r="J400" s="10">
        <v>33.3</v>
      </c>
      <c r="K400" s="10">
        <v>9.0</v>
      </c>
    </row>
    <row r="401">
      <c r="A401" s="10">
        <v>170803.0</v>
      </c>
      <c r="B401" s="10">
        <v>1.0</v>
      </c>
      <c r="C401" s="11">
        <v>0.42777777777777776</v>
      </c>
      <c r="D401" s="10" t="s">
        <v>49</v>
      </c>
      <c r="E401" s="10">
        <v>1.0</v>
      </c>
      <c r="F401" s="10">
        <v>14.0</v>
      </c>
      <c r="G401" s="10">
        <v>41.29</v>
      </c>
      <c r="H401" s="10">
        <v>27.42</v>
      </c>
      <c r="I401">
        <f>15.73+32</f>
        <v>47.73</v>
      </c>
      <c r="J401" s="10">
        <v>36.3</v>
      </c>
      <c r="K401" s="10">
        <v>20.2</v>
      </c>
    </row>
    <row r="402">
      <c r="A402" s="10">
        <v>170803.0</v>
      </c>
      <c r="B402" s="10">
        <v>2.0</v>
      </c>
      <c r="C402" s="11">
        <v>0.43194444444444446</v>
      </c>
      <c r="D402" s="10">
        <v>119.0</v>
      </c>
      <c r="E402" s="10">
        <v>2.0</v>
      </c>
      <c r="F402" s="10">
        <v>9.12</v>
      </c>
      <c r="G402" s="10">
        <v>19.51</v>
      </c>
      <c r="H402" s="10">
        <v>11.5</v>
      </c>
      <c r="I402" s="10">
        <v>3.77</v>
      </c>
      <c r="J402" s="10">
        <v>30.8</v>
      </c>
      <c r="K402" s="10">
        <v>2.6</v>
      </c>
    </row>
    <row r="403">
      <c r="A403" s="10">
        <v>170803.0</v>
      </c>
      <c r="B403" s="10">
        <v>3.0</v>
      </c>
      <c r="C403" s="11">
        <v>0.4354166666666667</v>
      </c>
      <c r="D403" s="10">
        <v>129.0</v>
      </c>
      <c r="E403" s="10">
        <v>8.0</v>
      </c>
      <c r="F403" s="10">
        <v>9.28</v>
      </c>
      <c r="G403" s="10">
        <v>18.54</v>
      </c>
      <c r="H403" s="10">
        <v>10.8</v>
      </c>
      <c r="I403" s="10">
        <v>8.92</v>
      </c>
      <c r="J403" s="10">
        <v>27.4</v>
      </c>
      <c r="K403" s="10">
        <v>4.8</v>
      </c>
    </row>
    <row r="404">
      <c r="A404" s="10">
        <v>170804.0</v>
      </c>
      <c r="B404" s="10">
        <v>1.0</v>
      </c>
      <c r="C404" s="11">
        <v>0.4284722222222222</v>
      </c>
      <c r="D404" s="10">
        <v>119.0</v>
      </c>
      <c r="E404" s="10">
        <v>1.0</v>
      </c>
      <c r="F404" s="10">
        <v>9.12</v>
      </c>
      <c r="G404" s="10">
        <v>17.97</v>
      </c>
      <c r="H404" s="10">
        <v>10.44</v>
      </c>
      <c r="I404" s="10">
        <v>0.0</v>
      </c>
      <c r="J404" s="10">
        <v>0.0</v>
      </c>
      <c r="M404" s="10" t="s">
        <v>225</v>
      </c>
    </row>
    <row r="405">
      <c r="A405" s="10">
        <v>170804.0</v>
      </c>
      <c r="B405" s="10">
        <v>2.0</v>
      </c>
      <c r="C405" s="11">
        <v>0.4326388888888889</v>
      </c>
      <c r="D405" s="10">
        <v>127.0</v>
      </c>
      <c r="E405" s="10">
        <v>2.0</v>
      </c>
      <c r="F405" s="10">
        <v>11.47</v>
      </c>
      <c r="G405" s="10">
        <v>17.9</v>
      </c>
      <c r="H405" s="10">
        <v>10.28</v>
      </c>
      <c r="I405" s="10">
        <v>2.27</v>
      </c>
      <c r="J405" s="10">
        <v>38.2</v>
      </c>
      <c r="K405" s="10">
        <v>1.5</v>
      </c>
    </row>
    <row r="406">
      <c r="A406" s="10">
        <v>170808.0</v>
      </c>
      <c r="B406" s="10">
        <v>1.0</v>
      </c>
      <c r="C406" s="11">
        <v>0.4173611111111111</v>
      </c>
      <c r="D406" s="10">
        <v>38.0</v>
      </c>
      <c r="E406" s="10">
        <v>1.0</v>
      </c>
      <c r="F406" s="10">
        <v>12.05</v>
      </c>
      <c r="G406" s="10">
        <v>39.94</v>
      </c>
      <c r="H406" s="10">
        <v>23.97</v>
      </c>
      <c r="I406">
        <f>32+3.59</f>
        <v>35.59</v>
      </c>
      <c r="J406" s="10">
        <v>36.8</v>
      </c>
      <c r="K406" s="10">
        <v>16.8</v>
      </c>
      <c r="M406" s="10" t="s">
        <v>188</v>
      </c>
    </row>
    <row r="407">
      <c r="A407" s="10">
        <v>170808.0</v>
      </c>
      <c r="B407" s="10">
        <v>2.0</v>
      </c>
      <c r="C407" s="11">
        <v>0.4222222222222222</v>
      </c>
      <c r="D407" s="10">
        <v>137.0</v>
      </c>
      <c r="E407" s="10">
        <v>2.0</v>
      </c>
      <c r="F407" s="10">
        <v>10.38</v>
      </c>
      <c r="G407" s="10">
        <v>18.98</v>
      </c>
      <c r="H407" s="10">
        <v>11.5</v>
      </c>
      <c r="I407" s="10">
        <v>5.52</v>
      </c>
      <c r="J407" s="10">
        <v>37.4</v>
      </c>
      <c r="K407" s="10">
        <v>4.9</v>
      </c>
    </row>
    <row r="408">
      <c r="A408" s="10">
        <v>170808.0</v>
      </c>
      <c r="B408" s="10">
        <v>3.0</v>
      </c>
      <c r="C408" s="11">
        <v>0.4270833333333333</v>
      </c>
      <c r="D408" s="10">
        <v>127.0</v>
      </c>
      <c r="E408" s="10">
        <v>4.0</v>
      </c>
      <c r="F408" s="10">
        <v>11.48</v>
      </c>
      <c r="G408" s="10">
        <v>20.84</v>
      </c>
      <c r="H408" s="10">
        <v>10.6</v>
      </c>
      <c r="I408">
        <f>10.76-1.57-0.49</f>
        <v>8.7</v>
      </c>
      <c r="J408" s="10">
        <v>32.1</v>
      </c>
      <c r="K408" s="10">
        <v>5.9</v>
      </c>
    </row>
    <row r="409">
      <c r="A409" s="10">
        <v>170808.0</v>
      </c>
      <c r="B409" s="10">
        <v>4.0</v>
      </c>
      <c r="C409" s="11">
        <v>0.42986111111111114</v>
      </c>
      <c r="D409" s="10">
        <v>131.0</v>
      </c>
      <c r="E409" s="10">
        <v>3.0</v>
      </c>
      <c r="F409" s="10">
        <v>9.18</v>
      </c>
      <c r="G409" s="10">
        <v>17.02</v>
      </c>
      <c r="H409" s="10">
        <v>10.48</v>
      </c>
      <c r="I409" s="10">
        <v>10.71</v>
      </c>
      <c r="J409" s="10">
        <v>26.4</v>
      </c>
      <c r="K409" s="10">
        <v>5.1</v>
      </c>
    </row>
    <row r="410">
      <c r="A410" s="10">
        <v>170809.0</v>
      </c>
      <c r="B410" s="10">
        <v>1.0</v>
      </c>
      <c r="C410" s="11">
        <v>0.4076388888888889</v>
      </c>
      <c r="D410" s="10">
        <v>119.0</v>
      </c>
      <c r="E410" s="10">
        <v>1.0</v>
      </c>
      <c r="F410" s="10">
        <v>9.74</v>
      </c>
      <c r="G410" s="10">
        <v>19.78</v>
      </c>
      <c r="H410" s="10">
        <v>12.21</v>
      </c>
      <c r="I410" s="10">
        <v>11.89</v>
      </c>
      <c r="J410" s="10">
        <v>38.8</v>
      </c>
      <c r="K410" s="10">
        <v>8.8</v>
      </c>
      <c r="M410" s="10" t="s">
        <v>226</v>
      </c>
    </row>
    <row r="411">
      <c r="A411" s="10">
        <v>170809.0</v>
      </c>
      <c r="B411" s="10">
        <v>2.0</v>
      </c>
      <c r="C411" s="11">
        <v>0.4097222222222222</v>
      </c>
      <c r="D411" s="10">
        <v>137.0</v>
      </c>
      <c r="E411" s="10">
        <v>1.0</v>
      </c>
      <c r="F411" s="10">
        <v>10.53</v>
      </c>
      <c r="G411" s="10">
        <v>17.79</v>
      </c>
      <c r="H411" s="10">
        <v>10.93</v>
      </c>
      <c r="I411" s="10">
        <v>0.0</v>
      </c>
      <c r="J411" s="10">
        <v>0.0</v>
      </c>
      <c r="K411" s="10">
        <v>0.0</v>
      </c>
    </row>
    <row r="412">
      <c r="A412" s="10">
        <v>170812.0</v>
      </c>
      <c r="B412" s="10">
        <v>1.0</v>
      </c>
      <c r="C412" s="11">
        <v>0.43333333333333335</v>
      </c>
      <c r="D412" s="10">
        <v>77.0</v>
      </c>
      <c r="E412" s="10">
        <v>1.0</v>
      </c>
      <c r="F412" s="10">
        <v>13.53</v>
      </c>
      <c r="G412" s="10">
        <v>47.12</v>
      </c>
      <c r="H412" s="10">
        <v>26.25</v>
      </c>
      <c r="I412">
        <f>64+14.55</f>
        <v>78.55</v>
      </c>
      <c r="J412" s="10">
        <v>37.0</v>
      </c>
      <c r="K412" s="10">
        <v>24.3</v>
      </c>
      <c r="M412" s="10" t="s">
        <v>227</v>
      </c>
    </row>
    <row r="413">
      <c r="A413" s="10">
        <v>170812.0</v>
      </c>
      <c r="B413" s="10">
        <v>2.0</v>
      </c>
      <c r="C413" s="11">
        <v>0.4375</v>
      </c>
      <c r="D413" s="10">
        <v>19.0</v>
      </c>
      <c r="E413" s="10">
        <v>1.0</v>
      </c>
      <c r="F413" s="10">
        <v>11.78</v>
      </c>
      <c r="G413" s="10">
        <v>37.77</v>
      </c>
      <c r="H413">
        <f>20.33+2.18</f>
        <v>22.51</v>
      </c>
      <c r="I413" s="10">
        <v>26.47</v>
      </c>
      <c r="J413" s="10">
        <v>32.7</v>
      </c>
      <c r="K413" s="10">
        <v>8.9</v>
      </c>
    </row>
    <row r="414">
      <c r="A414" s="10">
        <v>170812.0</v>
      </c>
      <c r="B414" s="10">
        <v>3.0</v>
      </c>
      <c r="C414" s="11">
        <v>0.44166666666666665</v>
      </c>
      <c r="D414" s="10">
        <v>38.0</v>
      </c>
      <c r="E414" s="10">
        <v>1.0</v>
      </c>
      <c r="F414" s="10">
        <v>11.47</v>
      </c>
      <c r="G414" s="10">
        <v>41.05</v>
      </c>
      <c r="H414" s="10">
        <v>22.48</v>
      </c>
      <c r="I414">
        <f>32+16.54</f>
        <v>48.54</v>
      </c>
      <c r="J414" s="10">
        <v>36.8</v>
      </c>
      <c r="K414" s="10">
        <v>20.9</v>
      </c>
    </row>
    <row r="415">
      <c r="A415" s="10">
        <v>170812.0</v>
      </c>
      <c r="B415" s="10">
        <v>4.0</v>
      </c>
      <c r="C415" s="11">
        <v>0.4465277777777778</v>
      </c>
      <c r="D415" s="10">
        <v>119.0</v>
      </c>
      <c r="E415" s="10">
        <v>2.0</v>
      </c>
      <c r="F415" s="10">
        <v>9.98</v>
      </c>
      <c r="G415" s="10">
        <v>22.71</v>
      </c>
      <c r="H415" s="10">
        <v>11.92</v>
      </c>
      <c r="I415">
        <f>2.53+0.92+0.32</f>
        <v>3.77</v>
      </c>
      <c r="J415" s="10">
        <v>24.4</v>
      </c>
      <c r="K415" s="10">
        <v>1.9</v>
      </c>
    </row>
    <row r="416">
      <c r="A416" s="10">
        <v>170813.0</v>
      </c>
      <c r="B416" s="10">
        <v>1.0</v>
      </c>
      <c r="C416" s="11">
        <v>0.44027777777777777</v>
      </c>
      <c r="D416" s="10">
        <v>38.0</v>
      </c>
      <c r="E416" s="10">
        <v>1.0</v>
      </c>
      <c r="F416" s="10">
        <v>11.52</v>
      </c>
      <c r="G416" s="10">
        <v>42.6</v>
      </c>
      <c r="H416" s="10">
        <v>23.31</v>
      </c>
      <c r="I416">
        <f>32+12.09</f>
        <v>44.09</v>
      </c>
      <c r="J416" s="10">
        <v>36.8</v>
      </c>
      <c r="K416" s="10">
        <v>18.8</v>
      </c>
      <c r="M416" s="11">
        <v>0.4361111111111111</v>
      </c>
    </row>
    <row r="417">
      <c r="A417" s="10">
        <v>170813.0</v>
      </c>
      <c r="B417" s="10">
        <v>2.0</v>
      </c>
      <c r="C417" s="11">
        <v>0.4444444444444444</v>
      </c>
      <c r="D417" s="10">
        <v>131.0</v>
      </c>
      <c r="E417" s="10">
        <v>3.0</v>
      </c>
      <c r="F417" s="10">
        <v>8.91</v>
      </c>
      <c r="G417" s="10">
        <v>21.0</v>
      </c>
      <c r="H417" s="10">
        <v>11.38</v>
      </c>
      <c r="I417" s="10">
        <v>2.62</v>
      </c>
      <c r="J417" s="10">
        <v>21.9</v>
      </c>
      <c r="K417" s="10">
        <v>1.1</v>
      </c>
    </row>
    <row r="418">
      <c r="A418" s="10">
        <v>170814.0</v>
      </c>
      <c r="B418" s="10">
        <v>1.0</v>
      </c>
      <c r="C418" s="11">
        <v>0.42083333333333334</v>
      </c>
      <c r="D418" s="10">
        <v>141.0</v>
      </c>
      <c r="E418" s="10">
        <v>1.0</v>
      </c>
      <c r="F418" s="10">
        <v>10.51</v>
      </c>
      <c r="G418" s="10">
        <v>17.47</v>
      </c>
      <c r="H418" s="10">
        <v>10.26</v>
      </c>
      <c r="I418" s="10">
        <v>8.49</v>
      </c>
      <c r="J418" s="10">
        <v>30.2</v>
      </c>
      <c r="K418" s="10">
        <v>5.4</v>
      </c>
      <c r="M418" s="11">
        <v>0.4166666666666667</v>
      </c>
    </row>
    <row r="419">
      <c r="A419" s="10">
        <v>170815.0</v>
      </c>
      <c r="B419" s="10">
        <v>1.0</v>
      </c>
      <c r="C419" s="11">
        <v>0.41041666666666665</v>
      </c>
      <c r="D419" s="10">
        <v>137.0</v>
      </c>
      <c r="E419" s="10">
        <v>1.0</v>
      </c>
      <c r="F419" s="10">
        <v>11.02</v>
      </c>
      <c r="G419" s="10">
        <v>18.26</v>
      </c>
      <c r="H419" s="10">
        <v>10.69</v>
      </c>
      <c r="I419">
        <f>13.42-0.41-0.8</f>
        <v>12.21</v>
      </c>
      <c r="J419" s="10">
        <v>32.2</v>
      </c>
      <c r="K419" s="10">
        <v>7.7</v>
      </c>
    </row>
    <row r="420">
      <c r="A420" s="10">
        <v>170816.0</v>
      </c>
      <c r="B420" s="10">
        <v>1.0</v>
      </c>
      <c r="C420" s="11">
        <v>0.41388888888888886</v>
      </c>
      <c r="D420" s="10">
        <v>141.0</v>
      </c>
      <c r="E420" s="10">
        <v>1.0</v>
      </c>
      <c r="F420" s="10">
        <v>10.35</v>
      </c>
      <c r="G420" s="10">
        <v>16.67</v>
      </c>
      <c r="H420" s="10">
        <v>9.67</v>
      </c>
      <c r="I420" s="10">
        <v>1.8</v>
      </c>
      <c r="J420" s="10">
        <v>54.0</v>
      </c>
      <c r="K420" s="10">
        <v>2.4</v>
      </c>
      <c r="M420" s="10" t="s">
        <v>228</v>
      </c>
    </row>
    <row r="421">
      <c r="A421" s="10">
        <v>170817.0</v>
      </c>
      <c r="B421" s="10">
        <v>1.0</v>
      </c>
      <c r="C421" s="11">
        <v>0.43125</v>
      </c>
      <c r="D421" s="10">
        <v>131.0</v>
      </c>
      <c r="E421" s="10">
        <v>5.0</v>
      </c>
      <c r="F421" s="10">
        <v>8.22</v>
      </c>
      <c r="G421" s="10">
        <v>19.17</v>
      </c>
      <c r="H421" s="10">
        <v>10.27</v>
      </c>
      <c r="I421" s="10">
        <v>10.05</v>
      </c>
      <c r="J421" s="10">
        <v>24.1</v>
      </c>
      <c r="K421" s="10">
        <v>4.8</v>
      </c>
      <c r="M421" s="10" t="s">
        <v>213</v>
      </c>
    </row>
    <row r="422">
      <c r="A422" s="10">
        <v>170817.0</v>
      </c>
      <c r="B422" s="10">
        <v>2.0</v>
      </c>
      <c r="C422" s="11">
        <v>0.4354166666666667</v>
      </c>
      <c r="D422" s="10">
        <v>142.0</v>
      </c>
      <c r="E422" s="10">
        <v>1.0</v>
      </c>
      <c r="F422" s="10">
        <v>11.65</v>
      </c>
      <c r="G422" s="10">
        <v>18.11</v>
      </c>
      <c r="H422" s="10">
        <v>10.82</v>
      </c>
      <c r="I422">
        <f>10.69-0.81-0.8</f>
        <v>9.08</v>
      </c>
      <c r="J422" s="10">
        <v>35.8</v>
      </c>
      <c r="K422" s="10">
        <v>6.7</v>
      </c>
    </row>
    <row r="423">
      <c r="A423" s="10">
        <v>170817.0</v>
      </c>
      <c r="B423" s="10">
        <v>3.0</v>
      </c>
      <c r="C423" s="11">
        <v>0.4388888888888889</v>
      </c>
      <c r="D423" s="10">
        <v>137.0</v>
      </c>
      <c r="E423" s="10">
        <v>1.0</v>
      </c>
      <c r="F423" s="10">
        <v>1063.0</v>
      </c>
      <c r="G423" s="10">
        <v>18.07</v>
      </c>
      <c r="H423" s="10">
        <v>10.27</v>
      </c>
      <c r="I423">
        <f>7.68-0.37</f>
        <v>7.31</v>
      </c>
      <c r="J423" s="10">
        <v>31.6</v>
      </c>
      <c r="K423" s="10">
        <v>4.3</v>
      </c>
    </row>
    <row r="424">
      <c r="A424" s="10">
        <v>170820.0</v>
      </c>
      <c r="B424" s="10">
        <v>1.0</v>
      </c>
      <c r="C424" s="11">
        <v>0.40069444444444446</v>
      </c>
      <c r="D424" s="10">
        <v>75.0</v>
      </c>
      <c r="E424" s="10">
        <v>1.0</v>
      </c>
      <c r="F424" s="10">
        <v>14.81</v>
      </c>
      <c r="G424" s="10">
        <v>49.0</v>
      </c>
      <c r="H424" s="10">
        <v>29.18</v>
      </c>
      <c r="I424">
        <f>64+18.47</f>
        <v>82.47</v>
      </c>
      <c r="J424" s="10">
        <v>39.0</v>
      </c>
      <c r="K424" s="10">
        <v>26.2</v>
      </c>
      <c r="M424" s="11"/>
    </row>
    <row r="425">
      <c r="A425" s="10">
        <v>170822.0</v>
      </c>
      <c r="B425" s="10">
        <v>1.0</v>
      </c>
      <c r="C425" s="11">
        <v>0.4486111111111111</v>
      </c>
      <c r="D425" s="10">
        <v>75.0</v>
      </c>
      <c r="E425" s="10">
        <v>1.0</v>
      </c>
      <c r="F425" s="10">
        <v>15.87</v>
      </c>
      <c r="G425" s="10">
        <v>47.72</v>
      </c>
      <c r="H425" s="10">
        <v>28.67</v>
      </c>
      <c r="I425">
        <f>64+14.15</f>
        <v>78.15</v>
      </c>
      <c r="J425" s="10">
        <v>39.3</v>
      </c>
      <c r="K425" s="10">
        <v>29.0</v>
      </c>
      <c r="L425" s="10" t="s">
        <v>229</v>
      </c>
      <c r="M425" s="11">
        <v>0.44305555555555554</v>
      </c>
    </row>
    <row r="426">
      <c r="A426" s="10">
        <v>170823.0</v>
      </c>
      <c r="B426" s="10">
        <v>1.0</v>
      </c>
      <c r="C426" s="11">
        <v>0.44722222222222224</v>
      </c>
      <c r="D426" s="10">
        <v>75.0</v>
      </c>
      <c r="E426" s="10">
        <v>1.0</v>
      </c>
      <c r="F426" s="10">
        <v>15.6</v>
      </c>
      <c r="G426" s="10">
        <v>51.56</v>
      </c>
      <c r="H426" s="10">
        <v>29.32</v>
      </c>
      <c r="I426">
        <f>96+1.02</f>
        <v>97.02</v>
      </c>
      <c r="J426" s="10">
        <v>37.8</v>
      </c>
      <c r="K426" s="10">
        <v>28.0</v>
      </c>
      <c r="M426" s="10" t="s">
        <v>230</v>
      </c>
    </row>
    <row r="427">
      <c r="A427" s="10">
        <v>170823.0</v>
      </c>
      <c r="B427" s="10">
        <v>2.0</v>
      </c>
      <c r="C427" s="11">
        <v>0.45069444444444445</v>
      </c>
      <c r="D427" s="10">
        <v>141.0</v>
      </c>
      <c r="E427" s="10">
        <v>1.0</v>
      </c>
      <c r="F427" s="10">
        <v>12.5</v>
      </c>
      <c r="G427" s="10">
        <v>19.97</v>
      </c>
      <c r="H427">
        <f>0.98+10.27+1.35</f>
        <v>12.6</v>
      </c>
      <c r="I427" s="10">
        <v>13.58</v>
      </c>
      <c r="J427" s="10">
        <v>35.3</v>
      </c>
      <c r="K427" s="10">
        <v>9.1</v>
      </c>
    </row>
    <row r="428">
      <c r="A428" s="10">
        <v>170829.0</v>
      </c>
      <c r="B428" s="10">
        <v>1.0</v>
      </c>
      <c r="C428" s="11">
        <v>0.4423611111111111</v>
      </c>
      <c r="D428" s="10">
        <v>141.0</v>
      </c>
      <c r="E428" s="10">
        <v>1.0</v>
      </c>
      <c r="F428" s="10">
        <v>11.8</v>
      </c>
      <c r="G428" s="10">
        <v>18.24</v>
      </c>
      <c r="H428" s="10">
        <v>10.12</v>
      </c>
      <c r="I428" s="10">
        <v>0.0</v>
      </c>
      <c r="J428" s="10">
        <v>0.0</v>
      </c>
      <c r="K428" s="10">
        <v>0.0</v>
      </c>
      <c r="M428" s="11">
        <v>0.44027777777777777</v>
      </c>
    </row>
    <row r="429">
      <c r="A429" s="10">
        <v>170830.0</v>
      </c>
      <c r="B429" s="10">
        <v>1.0</v>
      </c>
      <c r="C429" s="11">
        <v>0.41597222222222224</v>
      </c>
      <c r="D429" s="10">
        <v>141.0</v>
      </c>
      <c r="E429" s="10">
        <v>1.0</v>
      </c>
      <c r="F429" s="10">
        <v>11.4</v>
      </c>
      <c r="G429" s="10">
        <v>19.07</v>
      </c>
      <c r="H429" s="10">
        <v>11.27</v>
      </c>
      <c r="I429" s="10">
        <v>2.83</v>
      </c>
      <c r="J429" s="10">
        <v>38.2</v>
      </c>
      <c r="K429" s="10">
        <v>2.2</v>
      </c>
      <c r="M429" s="11">
        <v>0.41180555555555554</v>
      </c>
    </row>
    <row r="430">
      <c r="A430" s="10">
        <v>170830.0</v>
      </c>
      <c r="B430" s="10">
        <v>2.0</v>
      </c>
      <c r="C430" s="11">
        <v>0.4222222222222222</v>
      </c>
      <c r="D430" s="10">
        <v>141.0</v>
      </c>
      <c r="E430" s="10">
        <v>3.0</v>
      </c>
      <c r="F430" s="10">
        <v>10.3</v>
      </c>
      <c r="G430" s="10">
        <v>18.41</v>
      </c>
      <c r="H430" s="10">
        <v>10.73</v>
      </c>
      <c r="I430" s="10">
        <v>3.97</v>
      </c>
      <c r="J430" s="10">
        <v>42.5</v>
      </c>
      <c r="K430" s="10">
        <v>3.3</v>
      </c>
    </row>
    <row r="431">
      <c r="A431" s="10">
        <v>170830.0</v>
      </c>
      <c r="B431" s="10">
        <v>3.0</v>
      </c>
      <c r="C431" s="11">
        <v>0.425</v>
      </c>
      <c r="D431" s="10">
        <v>141.0</v>
      </c>
      <c r="E431" s="10">
        <v>2.0</v>
      </c>
      <c r="G431" s="10">
        <v>18.97</v>
      </c>
      <c r="I431" s="10">
        <v>8.58</v>
      </c>
      <c r="J431" s="10">
        <v>37.2</v>
      </c>
      <c r="K431" s="10">
        <v>7.6</v>
      </c>
    </row>
    <row r="432">
      <c r="A432" s="10">
        <v>170915.0</v>
      </c>
      <c r="B432" s="10">
        <v>1.0</v>
      </c>
      <c r="C432" s="11">
        <v>0.4215277777777778</v>
      </c>
      <c r="D432" s="10">
        <v>33.0</v>
      </c>
      <c r="E432" s="10">
        <v>1.0</v>
      </c>
      <c r="F432" s="10">
        <v>10.27</v>
      </c>
      <c r="G432" s="10">
        <v>40.32</v>
      </c>
      <c r="H432" s="10">
        <v>23.73</v>
      </c>
      <c r="I432">
        <f>5.96+32</f>
        <v>37.96</v>
      </c>
      <c r="J432" s="10">
        <v>32.9</v>
      </c>
      <c r="K432" s="10">
        <v>15.9</v>
      </c>
      <c r="M432" s="10" t="s">
        <v>231</v>
      </c>
    </row>
    <row r="433">
      <c r="A433" s="10">
        <v>170926.0</v>
      </c>
      <c r="B433" s="10">
        <v>1.0</v>
      </c>
      <c r="C433" s="11">
        <v>0.45625</v>
      </c>
      <c r="D433" s="10">
        <v>35.0</v>
      </c>
      <c r="E433" s="10">
        <v>1.0</v>
      </c>
      <c r="F433" s="10">
        <v>9.54</v>
      </c>
      <c r="G433" s="10">
        <v>42.08</v>
      </c>
      <c r="H433" s="10">
        <v>24.59</v>
      </c>
      <c r="I433">
        <f>18.31+32</f>
        <v>50.31</v>
      </c>
      <c r="J433" s="10">
        <v>33.5</v>
      </c>
      <c r="K433" s="10">
        <v>18.7</v>
      </c>
      <c r="M433" s="10" t="s">
        <v>232</v>
      </c>
    </row>
    <row r="434">
      <c r="A434" s="10">
        <v>170928.0</v>
      </c>
      <c r="B434" s="10">
        <v>1.0</v>
      </c>
      <c r="C434" s="11">
        <v>0.4513888888888889</v>
      </c>
      <c r="D434" s="10">
        <v>33.0</v>
      </c>
      <c r="E434" s="10">
        <v>3.0</v>
      </c>
      <c r="F434" s="10">
        <v>11.43</v>
      </c>
      <c r="G434" s="10">
        <v>36.91</v>
      </c>
      <c r="H434" s="10">
        <v>23.08</v>
      </c>
      <c r="I434" s="10">
        <v>13.05</v>
      </c>
      <c r="J434" s="10">
        <v>27.2</v>
      </c>
      <c r="K434" s="10">
        <v>6.7</v>
      </c>
      <c r="M434" s="10" t="s">
        <v>233</v>
      </c>
      <c r="N434" s="10" t="s">
        <v>234</v>
      </c>
    </row>
    <row r="435">
      <c r="A435" s="10">
        <v>170929.0</v>
      </c>
      <c r="B435" s="10">
        <v>1.0</v>
      </c>
      <c r="C435" s="11">
        <v>0.4354166666666667</v>
      </c>
      <c r="D435" s="10">
        <v>33.0</v>
      </c>
      <c r="E435" s="10">
        <v>4.0</v>
      </c>
      <c r="F435" s="10">
        <v>10.98</v>
      </c>
      <c r="G435" s="10">
        <v>37.1</v>
      </c>
      <c r="H435">
        <f>20.58+1.23</f>
        <v>21.81</v>
      </c>
      <c r="I435">
        <f>3.55+7.29</f>
        <v>10.84</v>
      </c>
      <c r="J435" s="10">
        <v>33.2</v>
      </c>
      <c r="K435" s="10">
        <v>6.2</v>
      </c>
      <c r="M435" s="10" t="s">
        <v>235</v>
      </c>
      <c r="N435" s="10" t="s">
        <v>236</v>
      </c>
    </row>
    <row r="436">
      <c r="A436" s="10">
        <v>171001.0</v>
      </c>
      <c r="B436" s="10">
        <v>1.0</v>
      </c>
      <c r="C436" s="11">
        <v>0.46597222222222223</v>
      </c>
      <c r="D436" s="10">
        <v>33.0</v>
      </c>
      <c r="E436" s="10">
        <v>2.0</v>
      </c>
      <c r="F436" s="10">
        <v>10.4</v>
      </c>
      <c r="G436" s="10">
        <v>38.96</v>
      </c>
      <c r="H436" s="10">
        <v>24.59</v>
      </c>
      <c r="I436">
        <f>32+21.12</f>
        <v>53.12</v>
      </c>
      <c r="J436" s="10">
        <v>32.9</v>
      </c>
      <c r="K436" s="10">
        <v>19.7</v>
      </c>
      <c r="M436" s="10" t="s">
        <v>237</v>
      </c>
    </row>
    <row r="437">
      <c r="A437" s="10">
        <v>171004.0</v>
      </c>
      <c r="B437" s="10">
        <v>1.0</v>
      </c>
      <c r="C437" s="11">
        <v>0.48333333333333334</v>
      </c>
      <c r="D437" s="10">
        <v>95.0</v>
      </c>
      <c r="E437" s="10">
        <v>1.0</v>
      </c>
      <c r="F437" s="10">
        <v>11.2</v>
      </c>
      <c r="G437" s="10">
        <v>40.93</v>
      </c>
      <c r="H437">
        <f>24.71+1.22</f>
        <v>25.93</v>
      </c>
      <c r="I437">
        <f>19.2+32</f>
        <v>51.2</v>
      </c>
      <c r="J437" s="10">
        <v>32.8</v>
      </c>
      <c r="K437" s="10">
        <v>18.5</v>
      </c>
      <c r="M437" s="10" t="s">
        <v>238</v>
      </c>
    </row>
    <row r="438">
      <c r="A438" s="10">
        <v>171004.0</v>
      </c>
      <c r="B438" s="10">
        <v>2.0</v>
      </c>
      <c r="C438" s="11">
        <v>0.4875</v>
      </c>
      <c r="D438" s="10">
        <v>35.0</v>
      </c>
      <c r="E438" s="10">
        <v>2.0</v>
      </c>
      <c r="F438" s="10">
        <v>12.1</v>
      </c>
      <c r="G438" s="10">
        <v>40.6</v>
      </c>
      <c r="H438" s="10">
        <v>25.04</v>
      </c>
      <c r="I438">
        <f>9.75+32</f>
        <v>41.75</v>
      </c>
      <c r="J438" s="10">
        <v>31.7</v>
      </c>
      <c r="K438" s="10">
        <v>15.7</v>
      </c>
      <c r="M438" s="10" t="s">
        <v>91</v>
      </c>
    </row>
    <row r="439">
      <c r="A439" s="10">
        <v>171004.0</v>
      </c>
      <c r="B439" s="10">
        <v>3.0</v>
      </c>
      <c r="C439" s="11">
        <v>0.4909722222222222</v>
      </c>
      <c r="D439" s="10">
        <v>33.0</v>
      </c>
      <c r="E439" s="10">
        <v>4.0</v>
      </c>
      <c r="F439" s="10">
        <v>9.54</v>
      </c>
      <c r="G439" s="10">
        <v>33.01</v>
      </c>
      <c r="H439" s="10">
        <v>20.13</v>
      </c>
      <c r="I439" s="10">
        <v>20.75</v>
      </c>
      <c r="J439" s="10">
        <v>28.5</v>
      </c>
      <c r="K439" s="10">
        <v>9.0</v>
      </c>
      <c r="M439" s="10" t="s">
        <v>91</v>
      </c>
    </row>
    <row r="440">
      <c r="A440" s="10">
        <v>171005.0</v>
      </c>
      <c r="B440" s="10">
        <v>1.0</v>
      </c>
      <c r="C440" s="11">
        <v>0.47638888888888886</v>
      </c>
      <c r="D440" s="10">
        <v>142.0</v>
      </c>
      <c r="E440" s="10">
        <v>1.0</v>
      </c>
      <c r="F440" s="10">
        <v>9.76</v>
      </c>
      <c r="G440" s="10">
        <v>16.47</v>
      </c>
      <c r="H440" s="10">
        <v>9.79</v>
      </c>
      <c r="I440" s="10">
        <v>1.28</v>
      </c>
      <c r="J440" s="10" t="s">
        <v>214</v>
      </c>
      <c r="K440" s="10">
        <v>1.3</v>
      </c>
    </row>
    <row r="441">
      <c r="A441" s="10">
        <v>171005.0</v>
      </c>
      <c r="B441" s="10">
        <v>2.0</v>
      </c>
      <c r="C441" s="11">
        <v>0.48125</v>
      </c>
      <c r="D441" s="10">
        <v>53.0</v>
      </c>
      <c r="E441" s="10">
        <v>1.0</v>
      </c>
      <c r="F441" s="10">
        <v>11.93</v>
      </c>
      <c r="G441" s="10">
        <v>43.67</v>
      </c>
      <c r="H441" s="10">
        <v>24.74</v>
      </c>
      <c r="I441">
        <f>64+11.32</f>
        <v>75.32</v>
      </c>
      <c r="J441" s="10">
        <v>33.2</v>
      </c>
      <c r="K441" s="10">
        <v>22.1</v>
      </c>
      <c r="M441" s="10" t="s">
        <v>91</v>
      </c>
    </row>
    <row r="442">
      <c r="A442" s="10">
        <v>171005.0</v>
      </c>
      <c r="B442" s="10">
        <v>3.0</v>
      </c>
      <c r="C442" s="11">
        <v>0.4861111111111111</v>
      </c>
      <c r="D442" s="10">
        <v>95.0</v>
      </c>
      <c r="E442" s="10">
        <v>1.0</v>
      </c>
      <c r="F442" s="10">
        <v>11.46</v>
      </c>
      <c r="G442" s="10">
        <v>43.96</v>
      </c>
      <c r="H442" s="10">
        <v>25.17</v>
      </c>
      <c r="I442">
        <f>32+31.57</f>
        <v>63.57</v>
      </c>
      <c r="J442" s="10">
        <v>33.5</v>
      </c>
      <c r="K442" s="10">
        <v>20.7</v>
      </c>
      <c r="M442" s="10" t="s">
        <v>91</v>
      </c>
    </row>
    <row r="443">
      <c r="A443" s="10">
        <v>171005.0</v>
      </c>
      <c r="B443" s="10">
        <v>4.0</v>
      </c>
      <c r="C443" s="11">
        <v>0.49027777777777776</v>
      </c>
      <c r="D443" s="10">
        <v>48.0</v>
      </c>
      <c r="E443" s="10">
        <v>1.0</v>
      </c>
      <c r="F443" s="10">
        <v>12.08</v>
      </c>
      <c r="G443" s="10">
        <v>39.86</v>
      </c>
      <c r="H443" s="10">
        <v>22.99</v>
      </c>
      <c r="I443" s="10">
        <v>64.0</v>
      </c>
      <c r="J443" s="10">
        <v>32.4</v>
      </c>
      <c r="K443" s="10">
        <v>19.9</v>
      </c>
    </row>
    <row r="444">
      <c r="A444" s="10">
        <v>171007.0</v>
      </c>
      <c r="B444" s="10">
        <v>1.0</v>
      </c>
      <c r="C444" s="11">
        <v>0.46041666666666664</v>
      </c>
      <c r="D444" s="10">
        <v>53.0</v>
      </c>
      <c r="E444" s="10">
        <v>1.0</v>
      </c>
      <c r="F444" s="10">
        <v>9.4</v>
      </c>
      <c r="G444" s="10">
        <v>37.76</v>
      </c>
      <c r="H444" s="10">
        <v>21.96</v>
      </c>
      <c r="I444">
        <f>32+14.6</f>
        <v>46.6</v>
      </c>
      <c r="J444" s="10">
        <v>32.6</v>
      </c>
      <c r="K444" s="10">
        <v>17.9</v>
      </c>
      <c r="M444" s="10" t="s">
        <v>239</v>
      </c>
    </row>
    <row r="445">
      <c r="A445" s="10">
        <v>171010.0</v>
      </c>
      <c r="B445" s="10">
        <v>1.0</v>
      </c>
      <c r="C445" s="11">
        <v>0.4826388888888889</v>
      </c>
      <c r="D445" s="10">
        <v>53.0</v>
      </c>
      <c r="E445" s="10">
        <v>1.0</v>
      </c>
      <c r="F445" s="10">
        <v>10.96</v>
      </c>
      <c r="G445" s="10">
        <v>39.94</v>
      </c>
      <c r="H445" s="10">
        <v>22.75</v>
      </c>
      <c r="I445">
        <f>22.86+30.41</f>
        <v>53.27</v>
      </c>
      <c r="J445" s="10">
        <v>32.8</v>
      </c>
      <c r="K445" s="10">
        <v>19.2</v>
      </c>
      <c r="M445" s="10" t="s">
        <v>91</v>
      </c>
    </row>
    <row r="446">
      <c r="A446" s="10">
        <v>171013.0</v>
      </c>
      <c r="B446" s="10">
        <v>1.0</v>
      </c>
      <c r="C446" s="11">
        <v>0.43125</v>
      </c>
      <c r="D446" s="10" t="s">
        <v>206</v>
      </c>
      <c r="E446" s="10">
        <v>1.0</v>
      </c>
      <c r="F446" s="10">
        <v>13.81</v>
      </c>
      <c r="G446" s="10">
        <v>50.98</v>
      </c>
      <c r="H446" s="10">
        <v>33.76</v>
      </c>
      <c r="I446">
        <f>18.92+32</f>
        <v>50.92</v>
      </c>
      <c r="J446" s="10">
        <v>38.1</v>
      </c>
      <c r="K446" s="10">
        <v>21.9</v>
      </c>
    </row>
    <row r="447">
      <c r="A447" s="10">
        <v>171014.0</v>
      </c>
      <c r="B447" s="10">
        <v>1.0</v>
      </c>
      <c r="C447" s="11">
        <v>0.4388888888888889</v>
      </c>
      <c r="D447" s="10">
        <v>142.0</v>
      </c>
      <c r="E447" s="10">
        <v>3.0</v>
      </c>
      <c r="F447" s="10">
        <v>10.82</v>
      </c>
      <c r="G447" s="10">
        <v>17.4</v>
      </c>
      <c r="I447" s="10">
        <v>6.77</v>
      </c>
      <c r="J447" s="10">
        <v>33.3</v>
      </c>
      <c r="K447" s="10">
        <v>5.0</v>
      </c>
      <c r="M447" s="11">
        <v>0.4361111111111111</v>
      </c>
    </row>
    <row r="448">
      <c r="A448" s="10">
        <v>171014.0</v>
      </c>
      <c r="B448" s="10">
        <v>2.0</v>
      </c>
      <c r="C448" s="11">
        <v>0.44513888888888886</v>
      </c>
      <c r="D448" s="10">
        <v>53.0</v>
      </c>
      <c r="E448" s="10">
        <v>1.0</v>
      </c>
      <c r="F448" s="10">
        <v>11.04</v>
      </c>
      <c r="G448" s="10">
        <v>43.54</v>
      </c>
      <c r="H448" s="10">
        <v>23.48</v>
      </c>
      <c r="I448">
        <f>32+26.33</f>
        <v>58.33</v>
      </c>
      <c r="J448" s="10">
        <v>33.9</v>
      </c>
      <c r="K448" s="10">
        <v>20.8</v>
      </c>
      <c r="M448" s="10" t="s">
        <v>90</v>
      </c>
    </row>
    <row r="449">
      <c r="A449" s="10">
        <v>171014.0</v>
      </c>
      <c r="B449" s="10">
        <v>3.0</v>
      </c>
      <c r="C449" s="11">
        <v>0.4513888888888889</v>
      </c>
      <c r="D449" s="10">
        <v>114.0</v>
      </c>
      <c r="E449" s="10">
        <v>1.0</v>
      </c>
      <c r="F449" s="10">
        <v>10.6</v>
      </c>
      <c r="G449" s="10">
        <v>50.64</v>
      </c>
      <c r="H449" s="10">
        <v>31.21</v>
      </c>
      <c r="I449">
        <f>96+20.28</f>
        <v>116.28</v>
      </c>
      <c r="J449" s="10">
        <v>37.5</v>
      </c>
      <c r="K449" s="10">
        <v>29.5</v>
      </c>
    </row>
    <row r="450">
      <c r="A450" s="10">
        <v>171016.0</v>
      </c>
      <c r="B450" s="10">
        <v>1.0</v>
      </c>
      <c r="C450" s="11">
        <v>0.41458333333333336</v>
      </c>
      <c r="D450" s="10">
        <v>35.0</v>
      </c>
      <c r="E450" s="10">
        <v>1.0</v>
      </c>
      <c r="F450" s="10">
        <v>11.32</v>
      </c>
      <c r="G450" s="10">
        <v>42.05</v>
      </c>
      <c r="H450" s="10">
        <v>26.0</v>
      </c>
      <c r="I450">
        <f>32+30.18</f>
        <v>62.18</v>
      </c>
      <c r="J450" s="10">
        <v>34.5</v>
      </c>
      <c r="K450" s="10">
        <v>20.4</v>
      </c>
      <c r="M450" s="10" t="s">
        <v>90</v>
      </c>
    </row>
    <row r="451">
      <c r="A451" s="10">
        <v>171017.0</v>
      </c>
      <c r="B451" s="10">
        <v>1.0</v>
      </c>
      <c r="C451" s="11">
        <v>0.42083333333333334</v>
      </c>
      <c r="D451" s="10" t="s">
        <v>206</v>
      </c>
      <c r="E451" s="10">
        <v>1.0</v>
      </c>
      <c r="F451" s="10">
        <v>13.99</v>
      </c>
      <c r="G451" s="10">
        <v>53.35</v>
      </c>
      <c r="H451">
        <f>2.6+33.47</f>
        <v>36.07</v>
      </c>
      <c r="I451">
        <f>32+18.8</f>
        <v>50.8</v>
      </c>
      <c r="J451" s="10">
        <v>38.3</v>
      </c>
      <c r="K451" s="10">
        <v>22.6</v>
      </c>
    </row>
    <row r="452">
      <c r="A452" s="10">
        <v>171017.0</v>
      </c>
      <c r="B452" s="10">
        <v>2.0</v>
      </c>
      <c r="C452" s="11">
        <v>0.42569444444444443</v>
      </c>
      <c r="D452" s="10" t="s">
        <v>205</v>
      </c>
      <c r="E452" s="10">
        <v>1.0</v>
      </c>
      <c r="F452" s="10">
        <v>11.65</v>
      </c>
      <c r="G452" s="10">
        <v>42.98</v>
      </c>
      <c r="H452" s="10">
        <v>25.98</v>
      </c>
      <c r="I452">
        <f>32.3</f>
        <v>32.3</v>
      </c>
      <c r="J452" s="10">
        <v>34.2</v>
      </c>
      <c r="K452" s="10">
        <v>15.8</v>
      </c>
      <c r="M452" s="10" t="s">
        <v>240</v>
      </c>
    </row>
    <row r="453">
      <c r="A453" s="10">
        <v>171018.0</v>
      </c>
      <c r="B453" s="10">
        <v>1.0</v>
      </c>
      <c r="C453" s="11">
        <v>0.41388888888888886</v>
      </c>
      <c r="D453" s="10" t="s">
        <v>206</v>
      </c>
      <c r="E453" s="10">
        <v>2.0</v>
      </c>
      <c r="F453" s="10">
        <v>12.3</v>
      </c>
      <c r="G453" s="10">
        <v>43.06</v>
      </c>
      <c r="H453" s="10">
        <v>30.95</v>
      </c>
      <c r="I453" s="10">
        <v>27.36</v>
      </c>
      <c r="J453" s="10">
        <v>35.2</v>
      </c>
      <c r="K453" s="10">
        <v>14.9</v>
      </c>
      <c r="M453" s="11">
        <v>0.4076388888888889</v>
      </c>
    </row>
    <row r="454">
      <c r="A454" s="10">
        <v>171020.0</v>
      </c>
      <c r="B454" s="10">
        <v>1.0</v>
      </c>
      <c r="C454" s="11">
        <v>0.41805555555555557</v>
      </c>
      <c r="D454" s="10" t="s">
        <v>205</v>
      </c>
      <c r="E454" s="10">
        <v>1.0</v>
      </c>
      <c r="F454" s="10">
        <v>13.15</v>
      </c>
      <c r="G454" s="10">
        <v>47.91</v>
      </c>
      <c r="H454" s="10">
        <v>2679.0</v>
      </c>
      <c r="I454">
        <f>64+3.98</f>
        <v>67.98</v>
      </c>
      <c r="J454" s="10">
        <v>38.2</v>
      </c>
      <c r="K454" s="10">
        <v>24.0</v>
      </c>
      <c r="M454" s="10" t="s">
        <v>241</v>
      </c>
    </row>
    <row r="455">
      <c r="A455" s="10">
        <v>171021.0</v>
      </c>
      <c r="B455" s="10">
        <v>1.0</v>
      </c>
      <c r="C455" s="11">
        <v>0.40347222222222223</v>
      </c>
      <c r="D455" s="10">
        <v>109.0</v>
      </c>
      <c r="E455" s="10">
        <v>1.0</v>
      </c>
      <c r="F455" s="10">
        <v>9.88</v>
      </c>
      <c r="G455" s="10">
        <v>35.76</v>
      </c>
      <c r="H455" s="10">
        <v>21.09</v>
      </c>
      <c r="I455">
        <f>32+25.89</f>
        <v>57.89</v>
      </c>
      <c r="J455" s="10">
        <v>34.3</v>
      </c>
      <c r="K455" s="10">
        <v>21.0</v>
      </c>
      <c r="M455" s="11">
        <v>0.39861111111111114</v>
      </c>
    </row>
    <row r="456">
      <c r="A456" s="10">
        <v>171022.0</v>
      </c>
      <c r="B456" s="10">
        <v>1.0</v>
      </c>
      <c r="C456" s="11">
        <v>0.42430555555555555</v>
      </c>
      <c r="D456" s="10" t="s">
        <v>205</v>
      </c>
      <c r="E456" s="10">
        <v>1.0</v>
      </c>
      <c r="F456" s="10">
        <v>12.33</v>
      </c>
      <c r="G456" s="10">
        <v>48.77</v>
      </c>
      <c r="H456" s="10">
        <v>29.21</v>
      </c>
      <c r="I456">
        <f>25.04+64</f>
        <v>89.04</v>
      </c>
      <c r="J456" s="10">
        <v>36.3</v>
      </c>
      <c r="K456" s="10">
        <v>24.9</v>
      </c>
      <c r="M456" s="11">
        <v>0.4201388888888889</v>
      </c>
    </row>
    <row r="457">
      <c r="A457" s="10">
        <v>171024.0</v>
      </c>
      <c r="B457" s="10">
        <v>1.0</v>
      </c>
      <c r="C457" s="11">
        <v>0.43333333333333335</v>
      </c>
      <c r="D457" s="10">
        <v>109.0</v>
      </c>
      <c r="E457" s="10">
        <v>1.0</v>
      </c>
      <c r="F457" s="10">
        <v>9.87</v>
      </c>
      <c r="G457" s="10">
        <v>33.3</v>
      </c>
      <c r="H457" s="10">
        <v>19.76</v>
      </c>
      <c r="I457">
        <f>10.6+32</f>
        <v>42.6</v>
      </c>
      <c r="J457" s="10">
        <v>32.5</v>
      </c>
      <c r="K457" s="10">
        <v>17.6</v>
      </c>
      <c r="M457" s="11">
        <v>0.42777777777777776</v>
      </c>
      <c r="N457" s="10" t="s">
        <v>242</v>
      </c>
    </row>
    <row r="458">
      <c r="A458" s="10">
        <v>171024.0</v>
      </c>
      <c r="B458" s="10">
        <v>2.0</v>
      </c>
      <c r="C458" s="11">
        <v>0.4395833333333333</v>
      </c>
      <c r="D458" s="10">
        <v>95.0</v>
      </c>
      <c r="E458" s="10">
        <v>1.0</v>
      </c>
      <c r="F458" s="10">
        <v>11.14</v>
      </c>
      <c r="G458" s="10">
        <v>41.51</v>
      </c>
      <c r="H458" s="10">
        <v>26.01</v>
      </c>
      <c r="I458">
        <f>18.08+32</f>
        <v>50.08</v>
      </c>
      <c r="J458" s="10">
        <v>32.9</v>
      </c>
      <c r="K458" s="10">
        <v>18.2</v>
      </c>
      <c r="M458" s="10" t="s">
        <v>91</v>
      </c>
    </row>
    <row r="459">
      <c r="A459" s="10">
        <v>171025.0</v>
      </c>
      <c r="B459" s="10">
        <v>1.0</v>
      </c>
      <c r="C459" s="11">
        <v>0.4152777777777778</v>
      </c>
      <c r="D459" s="10">
        <v>109.0</v>
      </c>
      <c r="E459" s="10">
        <v>1.0</v>
      </c>
      <c r="F459" s="10">
        <v>9.49</v>
      </c>
      <c r="G459" s="10">
        <v>30.2</v>
      </c>
      <c r="H459" s="10">
        <v>19.13</v>
      </c>
      <c r="I459" s="10">
        <v>26.56</v>
      </c>
      <c r="J459" s="10">
        <v>31.9</v>
      </c>
      <c r="K459" s="10">
        <v>13.0</v>
      </c>
    </row>
    <row r="460">
      <c r="A460" s="10">
        <v>171025.0</v>
      </c>
      <c r="B460" s="10">
        <v>2.0</v>
      </c>
      <c r="C460" s="11">
        <v>0.4201388888888889</v>
      </c>
      <c r="D460" s="10" t="s">
        <v>204</v>
      </c>
      <c r="E460" s="10">
        <v>1.0</v>
      </c>
      <c r="F460" s="10">
        <v>11.6</v>
      </c>
      <c r="G460" s="10">
        <v>41.33</v>
      </c>
      <c r="H460" s="10">
        <v>29.8</v>
      </c>
      <c r="I460" s="10">
        <v>28.96</v>
      </c>
      <c r="J460" s="10">
        <v>37.2</v>
      </c>
      <c r="K460" s="10">
        <v>15.1</v>
      </c>
    </row>
    <row r="461">
      <c r="A461" s="10">
        <v>171026.0</v>
      </c>
      <c r="B461" s="10">
        <v>1.0</v>
      </c>
      <c r="C461" s="11">
        <v>0.4236111111111111</v>
      </c>
      <c r="D461" s="10">
        <v>48.0</v>
      </c>
      <c r="E461" s="10">
        <v>1.0</v>
      </c>
      <c r="F461" s="10">
        <v>10.71</v>
      </c>
      <c r="G461" s="10">
        <v>36.33</v>
      </c>
      <c r="H461" s="10">
        <v>22.28</v>
      </c>
      <c r="I461">
        <f>32+4.09</f>
        <v>36.09</v>
      </c>
      <c r="J461" s="10">
        <v>33.7</v>
      </c>
      <c r="K461" s="10">
        <v>15.9</v>
      </c>
      <c r="M461" s="11">
        <v>0.41944444444444445</v>
      </c>
    </row>
    <row r="462">
      <c r="A462" s="10">
        <v>171130.0</v>
      </c>
      <c r="B462" s="10">
        <v>1.0</v>
      </c>
      <c r="C462" s="11">
        <v>0.4354166666666667</v>
      </c>
      <c r="D462" s="10">
        <v>25.0</v>
      </c>
      <c r="E462" s="10">
        <v>1.0</v>
      </c>
      <c r="F462" s="10">
        <v>13.86</v>
      </c>
      <c r="G462" s="10">
        <v>37.79</v>
      </c>
      <c r="H462" s="10">
        <v>22.12</v>
      </c>
      <c r="I462" s="10">
        <v>26.68</v>
      </c>
      <c r="J462" s="10">
        <v>28.1</v>
      </c>
      <c r="K462" s="10">
        <v>10.9</v>
      </c>
      <c r="M462" s="11">
        <v>0.4326388888888889</v>
      </c>
      <c r="N462" s="10" t="s">
        <v>91</v>
      </c>
    </row>
    <row r="463">
      <c r="A463" s="10">
        <v>171202.0</v>
      </c>
      <c r="B463" s="10">
        <v>1.0</v>
      </c>
      <c r="C463" s="11">
        <v>0.5090277777777777</v>
      </c>
      <c r="D463" s="10" t="s">
        <v>243</v>
      </c>
      <c r="E463" s="10">
        <v>1.0</v>
      </c>
      <c r="F463" s="10">
        <v>9.57</v>
      </c>
      <c r="G463" s="10">
        <v>37.99</v>
      </c>
      <c r="H463" s="10">
        <v>26.58</v>
      </c>
      <c r="I463" s="10">
        <v>45.73</v>
      </c>
      <c r="J463" s="10">
        <v>39.0</v>
      </c>
      <c r="K463" s="10">
        <v>21.7</v>
      </c>
    </row>
    <row r="464">
      <c r="A464" s="10">
        <v>180119.0</v>
      </c>
      <c r="B464" s="10">
        <v>1.0</v>
      </c>
      <c r="C464" s="11">
        <v>0.4791666666666667</v>
      </c>
      <c r="D464" s="10">
        <v>82.0</v>
      </c>
      <c r="E464" s="10">
        <v>1.0</v>
      </c>
      <c r="F464" s="10">
        <v>10.07</v>
      </c>
      <c r="G464" s="10">
        <v>34.41</v>
      </c>
      <c r="H464" s="10">
        <v>20.11</v>
      </c>
      <c r="I464">
        <f>9.39+32</f>
        <v>41.39</v>
      </c>
      <c r="J464" s="10">
        <v>29.7</v>
      </c>
      <c r="K464" s="10">
        <v>15.0</v>
      </c>
      <c r="N464" s="10" t="s">
        <v>91</v>
      </c>
    </row>
    <row r="465">
      <c r="A465" s="10">
        <v>180123.0</v>
      </c>
      <c r="B465" s="10">
        <v>1.0</v>
      </c>
      <c r="C465" s="11">
        <v>0.4840277777777778</v>
      </c>
      <c r="D465" s="10">
        <v>72.0</v>
      </c>
      <c r="E465" s="10">
        <v>2.0</v>
      </c>
      <c r="F465" s="10">
        <v>10.3</v>
      </c>
      <c r="G465" s="10">
        <v>36.4</v>
      </c>
      <c r="H465" s="10">
        <v>21.8</v>
      </c>
      <c r="I465" s="10">
        <f>32+7.65</f>
        <v>39.65</v>
      </c>
      <c r="J465" s="10">
        <v>31.2</v>
      </c>
      <c r="K465" s="10">
        <v>16.0</v>
      </c>
      <c r="L465" s="11">
        <v>0.48055555555555557</v>
      </c>
      <c r="N465" s="10" t="s">
        <v>90</v>
      </c>
    </row>
    <row r="466">
      <c r="A466" s="10">
        <v>180124.0</v>
      </c>
      <c r="B466" s="10">
        <v>1.0</v>
      </c>
      <c r="C466" s="11">
        <v>0.4798611111111111</v>
      </c>
      <c r="D466" s="10">
        <v>72.0</v>
      </c>
      <c r="E466" s="10">
        <v>1.0</v>
      </c>
      <c r="F466" s="10">
        <v>11.58</v>
      </c>
      <c r="G466" s="10">
        <v>35.21</v>
      </c>
      <c r="H466">
        <f>19.22+1.8</f>
        <v>21.02</v>
      </c>
      <c r="I466">
        <f>32+16.28</f>
        <v>48.28</v>
      </c>
      <c r="J466" s="10">
        <v>32.5</v>
      </c>
      <c r="K466" s="10">
        <v>17.8</v>
      </c>
      <c r="L466" s="11">
        <v>0.47638888888888886</v>
      </c>
    </row>
    <row r="467">
      <c r="B467" s="10">
        <v>2.0</v>
      </c>
      <c r="C467" s="11">
        <v>0.48194444444444445</v>
      </c>
      <c r="D467" s="10">
        <v>82.0</v>
      </c>
      <c r="E467" s="10">
        <v>1.0</v>
      </c>
      <c r="F467" s="10">
        <v>9.08</v>
      </c>
      <c r="G467" s="10">
        <v>32.41</v>
      </c>
      <c r="H467" s="10">
        <v>18.94</v>
      </c>
      <c r="I467" s="10">
        <v>29.95</v>
      </c>
      <c r="J467" s="10">
        <v>29.5</v>
      </c>
      <c r="K467" s="10">
        <v>13.1</v>
      </c>
    </row>
    <row r="468">
      <c r="B468" s="10">
        <v>2.0</v>
      </c>
      <c r="C468" s="11">
        <v>0.48333333333333334</v>
      </c>
      <c r="D468" s="10">
        <v>82.0</v>
      </c>
      <c r="E468" s="10">
        <v>2.0</v>
      </c>
      <c r="F468" s="10">
        <v>10.97</v>
      </c>
      <c r="G468" s="10">
        <v>39.0</v>
      </c>
      <c r="H468" s="10">
        <v>22.17</v>
      </c>
      <c r="I468">
        <f>18.04+32</f>
        <v>50.04</v>
      </c>
      <c r="J468" s="10">
        <v>32.4</v>
      </c>
      <c r="K468" s="10">
        <v>19.0</v>
      </c>
      <c r="M468" s="10"/>
      <c r="N468" s="10" t="s">
        <v>90</v>
      </c>
    </row>
    <row r="469">
      <c r="A469" s="10">
        <v>180202.0</v>
      </c>
      <c r="B469" s="10">
        <v>1.0</v>
      </c>
      <c r="C469" s="11">
        <v>0.4840277777777778</v>
      </c>
      <c r="D469" s="10">
        <v>72.0</v>
      </c>
      <c r="E469" s="10">
        <v>1.0</v>
      </c>
      <c r="F469" s="10">
        <v>11.41</v>
      </c>
      <c r="G469" s="10">
        <v>32.93</v>
      </c>
      <c r="H469" s="10">
        <v>20.11</v>
      </c>
      <c r="I469" s="10">
        <v>23.14</v>
      </c>
      <c r="J469" s="10">
        <v>33.0</v>
      </c>
      <c r="K469" s="10">
        <v>13.0</v>
      </c>
      <c r="M469" s="11">
        <v>0.4756944444444444</v>
      </c>
      <c r="N469" s="10" t="s">
        <v>234</v>
      </c>
    </row>
    <row r="470">
      <c r="A470" s="10">
        <v>180206.0</v>
      </c>
      <c r="B470" s="10">
        <v>1.0</v>
      </c>
      <c r="C470" s="11">
        <v>0.4847222222222222</v>
      </c>
      <c r="D470" s="10">
        <v>82.0</v>
      </c>
      <c r="E470" s="10">
        <v>1.0</v>
      </c>
      <c r="F470" s="10">
        <v>12.8</v>
      </c>
      <c r="G470" s="10">
        <v>28.22</v>
      </c>
      <c r="H470" s="10">
        <v>32.54</v>
      </c>
      <c r="I470">
        <f>21.72+32</f>
        <v>53.72</v>
      </c>
      <c r="J470" s="10">
        <v>36.3</v>
      </c>
      <c r="K470" s="10">
        <v>21.0</v>
      </c>
      <c r="L470" s="11">
        <v>0.4791666666666667</v>
      </c>
    </row>
    <row r="471">
      <c r="A471" s="10">
        <v>180213.0</v>
      </c>
      <c r="B471" s="10">
        <v>1.0</v>
      </c>
      <c r="C471" s="11">
        <v>0.47152777777777777</v>
      </c>
      <c r="D471" s="10">
        <v>72.0</v>
      </c>
      <c r="E471" s="10">
        <v>1.0</v>
      </c>
      <c r="F471" s="10">
        <v>10.33</v>
      </c>
      <c r="G471" s="10">
        <v>32.68</v>
      </c>
      <c r="H471" s="10">
        <v>20.32</v>
      </c>
      <c r="I471" s="10">
        <v>21.57</v>
      </c>
      <c r="J471" s="10">
        <v>34.6</v>
      </c>
      <c r="K471" s="10">
        <v>11.1</v>
      </c>
      <c r="L471" s="11">
        <v>0.44027777777777777</v>
      </c>
      <c r="M471" s="11"/>
      <c r="N471" s="10"/>
    </row>
    <row r="472">
      <c r="A472" s="10">
        <v>180301.0</v>
      </c>
      <c r="B472" s="10">
        <v>1.0</v>
      </c>
      <c r="C472" s="11">
        <v>0.4465277777777778</v>
      </c>
      <c r="D472" s="10" t="s">
        <v>244</v>
      </c>
      <c r="E472" s="10">
        <v>1.0</v>
      </c>
      <c r="F472" s="10">
        <v>9.55</v>
      </c>
      <c r="G472" s="10">
        <v>28.06</v>
      </c>
      <c r="H472" s="10">
        <v>23.54</v>
      </c>
      <c r="I472" s="10">
        <v>10.77</v>
      </c>
      <c r="J472" s="10">
        <v>39.5</v>
      </c>
      <c r="K472" s="10">
        <v>9.8</v>
      </c>
      <c r="L472" s="11">
        <v>0.4423611111111111</v>
      </c>
    </row>
    <row r="473">
      <c r="B473" s="10">
        <v>2.0</v>
      </c>
      <c r="C473" s="11">
        <v>0.45</v>
      </c>
      <c r="D473" s="10">
        <v>4.0</v>
      </c>
      <c r="E473" s="10">
        <v>1.0</v>
      </c>
      <c r="F473" s="10">
        <v>9.91</v>
      </c>
      <c r="G473" s="10">
        <v>36.37</v>
      </c>
      <c r="H473" s="10">
        <v>22.36</v>
      </c>
      <c r="I473" s="10">
        <v>28.5</v>
      </c>
      <c r="J473" s="10">
        <v>33.2</v>
      </c>
      <c r="K473" s="10">
        <v>14.0</v>
      </c>
    </row>
    <row r="474">
      <c r="A474" s="10">
        <v>180304.0</v>
      </c>
      <c r="B474" s="10">
        <v>1.0</v>
      </c>
      <c r="C474" s="11">
        <v>0.49166666666666664</v>
      </c>
      <c r="D474" s="10">
        <v>8.0</v>
      </c>
      <c r="E474" s="10">
        <v>1.0</v>
      </c>
      <c r="F474" s="10">
        <v>8.36</v>
      </c>
      <c r="G474" s="10">
        <v>25.64</v>
      </c>
      <c r="H474" s="10">
        <v>17.08</v>
      </c>
      <c r="I474" s="10">
        <v>20.37</v>
      </c>
      <c r="J474" s="10">
        <v>28.2</v>
      </c>
      <c r="K474" s="10">
        <v>9.9</v>
      </c>
      <c r="L474" s="10" t="s">
        <v>245</v>
      </c>
    </row>
    <row r="475">
      <c r="A475" s="10">
        <v>180305.0</v>
      </c>
      <c r="B475" s="10">
        <v>1.0</v>
      </c>
      <c r="C475" s="11">
        <v>0.45694444444444443</v>
      </c>
      <c r="D475" s="10">
        <v>4.0</v>
      </c>
      <c r="E475" s="10">
        <v>1.0</v>
      </c>
      <c r="F475" s="10">
        <v>10.81</v>
      </c>
      <c r="G475" s="10">
        <v>35.04</v>
      </c>
      <c r="H475" s="10">
        <v>22.27</v>
      </c>
      <c r="I475" s="10">
        <v>31.58</v>
      </c>
      <c r="J475" s="10">
        <v>32.5</v>
      </c>
      <c r="K475" s="10">
        <v>14.9</v>
      </c>
      <c r="L475" s="11">
        <v>0.4534722222222222</v>
      </c>
      <c r="M475" s="10" t="s">
        <v>90</v>
      </c>
    </row>
    <row r="476">
      <c r="A476" s="10">
        <v>180310.0</v>
      </c>
      <c r="B476" s="10">
        <v>1.0</v>
      </c>
      <c r="C476" s="11">
        <v>0.4236111111111111</v>
      </c>
      <c r="D476" s="10">
        <v>4.0</v>
      </c>
      <c r="E476" s="10">
        <v>1.0</v>
      </c>
      <c r="F476" s="10">
        <v>10.46</v>
      </c>
      <c r="G476" s="10">
        <v>33.78</v>
      </c>
      <c r="H476" s="10">
        <v>20.88</v>
      </c>
      <c r="I476" s="10">
        <v>21.96</v>
      </c>
      <c r="J476" s="10">
        <v>33.4</v>
      </c>
      <c r="K476" s="10">
        <v>12.0</v>
      </c>
      <c r="L476" s="11">
        <v>0.41944444444444445</v>
      </c>
    </row>
    <row r="477">
      <c r="B477" s="10">
        <v>2.0</v>
      </c>
      <c r="C477" s="11">
        <v>0.4625</v>
      </c>
      <c r="D477" s="10">
        <v>4.0</v>
      </c>
      <c r="E477" s="10">
        <v>1.0</v>
      </c>
      <c r="F477" s="10">
        <v>10.82</v>
      </c>
      <c r="G477" s="10">
        <v>29.94</v>
      </c>
      <c r="I477" s="10">
        <v>19.1</v>
      </c>
      <c r="J477" s="10">
        <v>31.1</v>
      </c>
      <c r="K477" s="10">
        <v>10.0</v>
      </c>
      <c r="L477" s="11">
        <v>0.45902777777777776</v>
      </c>
      <c r="M477" s="10" t="s">
        <v>91</v>
      </c>
    </row>
    <row r="478">
      <c r="A478" s="10">
        <v>180312.0</v>
      </c>
      <c r="B478" s="10">
        <v>1.0</v>
      </c>
      <c r="C478" s="11">
        <v>0.45208333333333334</v>
      </c>
      <c r="D478" s="10">
        <v>4.0</v>
      </c>
      <c r="E478" s="10">
        <v>1.0</v>
      </c>
      <c r="F478" s="10">
        <v>10.71</v>
      </c>
      <c r="G478" s="10">
        <v>34.07</v>
      </c>
      <c r="H478" s="10">
        <v>22.02</v>
      </c>
      <c r="I478" s="10">
        <v>17.87</v>
      </c>
      <c r="J478" s="10">
        <v>33.5</v>
      </c>
      <c r="K478" s="10">
        <v>11.1</v>
      </c>
      <c r="L478" s="11">
        <v>0.44930555555555557</v>
      </c>
      <c r="M478" s="10" t="s">
        <v>91</v>
      </c>
    </row>
    <row r="479">
      <c r="A479" s="10">
        <v>180313.0</v>
      </c>
      <c r="B479" s="10">
        <v>1.0</v>
      </c>
      <c r="C479" s="11">
        <v>0.49722222222222223</v>
      </c>
      <c r="D479" s="10">
        <v>8.0</v>
      </c>
      <c r="E479" s="10">
        <v>1.0</v>
      </c>
      <c r="F479" s="10">
        <v>9.25</v>
      </c>
      <c r="G479" s="10">
        <v>29.33</v>
      </c>
      <c r="H479" s="10">
        <v>17.66</v>
      </c>
      <c r="I479" s="10">
        <v>18.49</v>
      </c>
      <c r="J479" s="10">
        <v>25.7</v>
      </c>
      <c r="K479" s="10">
        <v>8.0</v>
      </c>
      <c r="L479" s="10" t="s">
        <v>246</v>
      </c>
    </row>
    <row r="480">
      <c r="A480" s="10">
        <v>180320.0</v>
      </c>
      <c r="B480" s="10">
        <v>1.0</v>
      </c>
      <c r="C480" s="11">
        <v>0.47847222222222224</v>
      </c>
      <c r="D480" s="10">
        <v>8.0</v>
      </c>
      <c r="E480" s="10">
        <v>1.0</v>
      </c>
      <c r="F480" s="10">
        <v>9.54</v>
      </c>
      <c r="G480" s="10">
        <v>29.95</v>
      </c>
      <c r="H480" s="10">
        <v>20.82</v>
      </c>
      <c r="I480">
        <f>32+10.75</f>
        <v>42.75</v>
      </c>
      <c r="J480" s="10">
        <v>31.7</v>
      </c>
      <c r="K480" s="10">
        <v>16.2</v>
      </c>
      <c r="L480" s="11">
        <v>0.475</v>
      </c>
      <c r="M480" s="10" t="s">
        <v>91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29"/>
    <col customWidth="1" min="2" max="2" width="4.86"/>
    <col customWidth="1" min="3" max="3" width="9.0"/>
    <col customWidth="1" min="4" max="6" width="7.14"/>
    <col customWidth="1" min="7" max="7" width="12.86"/>
    <col customWidth="1" min="8" max="8" width="5.0"/>
    <col customWidth="1" min="9" max="9" width="6.14"/>
    <col customWidth="1" min="10" max="10" width="7.14"/>
    <col customWidth="1" min="11" max="11" width="8.71"/>
    <col customWidth="1" min="12" max="12" width="9.14"/>
    <col customWidth="1" min="13" max="13" width="6.29"/>
  </cols>
  <sheetData>
    <row r="1">
      <c r="A1" s="1" t="s">
        <v>0</v>
      </c>
      <c r="B1" s="2" t="s">
        <v>1</v>
      </c>
      <c r="C1" s="1" t="s">
        <v>2</v>
      </c>
      <c r="D1" s="3"/>
      <c r="E1" s="3"/>
      <c r="F1" s="4" t="s">
        <v>3</v>
      </c>
      <c r="G1" s="5"/>
      <c r="H1" s="4" t="s">
        <v>4</v>
      </c>
      <c r="I1" s="3"/>
      <c r="J1" s="3"/>
      <c r="K1" s="6" t="s">
        <v>5</v>
      </c>
      <c r="L1" s="6" t="s">
        <v>6</v>
      </c>
      <c r="M1" s="7" t="s">
        <v>7</v>
      </c>
    </row>
    <row r="2">
      <c r="A2" s="1">
        <v>1.0</v>
      </c>
      <c r="B2" s="18">
        <f>countif(Nectar!D1:D999,A2)</f>
        <v>0</v>
      </c>
      <c r="C2" s="3"/>
      <c r="D2" s="3"/>
      <c r="E2" s="3"/>
      <c r="F2" s="14">
        <v>0.0</v>
      </c>
      <c r="G2" s="5" t="s">
        <v>93</v>
      </c>
      <c r="H2" s="14">
        <v>0.0</v>
      </c>
      <c r="I2" s="6"/>
      <c r="J2" s="7">
        <v>6.0</v>
      </c>
      <c r="K2">
        <f t="shared" ref="K2:M2" si="1">countif(B2:B124,J2)</f>
        <v>2</v>
      </c>
      <c r="L2">
        <f t="shared" si="1"/>
        <v>12</v>
      </c>
      <c r="M2">
        <f t="shared" si="1"/>
        <v>0</v>
      </c>
    </row>
    <row r="3">
      <c r="A3" s="19">
        <v>2.0</v>
      </c>
      <c r="B3" s="18">
        <f>countif(Nectar!D1:D1000,A3)</f>
        <v>4</v>
      </c>
      <c r="C3" s="1">
        <v>4.0</v>
      </c>
      <c r="D3" s="1"/>
      <c r="E3" s="1"/>
      <c r="F3" s="21">
        <v>3.0</v>
      </c>
      <c r="G3" s="22" t="s">
        <v>93</v>
      </c>
      <c r="H3" s="21">
        <v>2.0</v>
      </c>
      <c r="I3" s="6"/>
      <c r="J3" s="6">
        <v>5.0</v>
      </c>
      <c r="K3" s="18">
        <f>countif(B2:B124,J3)</f>
        <v>7</v>
      </c>
      <c r="L3" s="18">
        <f>countif(F1:F124,J3)</f>
        <v>0</v>
      </c>
      <c r="M3" s="18">
        <f>countif(H1:H124,J3)</f>
        <v>0</v>
      </c>
      <c r="N3" s="12"/>
      <c r="O3" s="12" t="s">
        <v>8</v>
      </c>
      <c r="P3" s="12" t="s">
        <v>100</v>
      </c>
    </row>
    <row r="4">
      <c r="A4" s="19">
        <v>3.0</v>
      </c>
      <c r="B4" s="18">
        <f>countif(Nectar!D1:D1001,A4)</f>
        <v>3</v>
      </c>
      <c r="C4" s="1">
        <v>6.0</v>
      </c>
      <c r="D4" s="1"/>
      <c r="E4" s="1"/>
      <c r="F4" s="21">
        <v>3.0</v>
      </c>
      <c r="G4" s="22" t="s">
        <v>102</v>
      </c>
      <c r="H4" s="21">
        <v>2.0</v>
      </c>
      <c r="I4" s="6"/>
      <c r="J4" s="6">
        <v>4.0</v>
      </c>
      <c r="K4" s="18">
        <f>countif(B2:B124,J4)</f>
        <v>31</v>
      </c>
      <c r="L4" s="18">
        <f>countif(F1:F124,J4)</f>
        <v>19</v>
      </c>
      <c r="M4" s="18">
        <f>countif(H1:H124,J4)</f>
        <v>1</v>
      </c>
      <c r="N4" s="12"/>
      <c r="O4" s="12" t="s">
        <v>11</v>
      </c>
      <c r="P4" s="12" t="s">
        <v>104</v>
      </c>
    </row>
    <row r="5">
      <c r="A5" s="23">
        <v>4.0</v>
      </c>
      <c r="B5" s="18">
        <f>countif(Nectar!D1:D1002,A5)</f>
        <v>5</v>
      </c>
      <c r="C5" s="1">
        <v>2.0</v>
      </c>
      <c r="D5" s="3"/>
      <c r="E5" s="3"/>
      <c r="F5" s="21">
        <v>3.0</v>
      </c>
      <c r="G5" s="22" t="s">
        <v>93</v>
      </c>
      <c r="H5" s="21">
        <v>2.0</v>
      </c>
      <c r="I5" s="6"/>
      <c r="J5" s="6">
        <v>3.0</v>
      </c>
      <c r="K5" s="18">
        <f>countif(B2:B124,J5)</f>
        <v>75</v>
      </c>
      <c r="L5" s="18">
        <f>countif(F1:F124,J5)</f>
        <v>94</v>
      </c>
      <c r="M5" s="18">
        <f>countif(H1:H124,J5)</f>
        <v>8</v>
      </c>
      <c r="N5" s="12"/>
      <c r="O5" s="12" t="s">
        <v>21</v>
      </c>
      <c r="P5" s="12" t="s">
        <v>107</v>
      </c>
    </row>
    <row r="6">
      <c r="A6" s="19">
        <v>5.0</v>
      </c>
      <c r="B6" s="18">
        <f>countif(Nectar!D1:D1003,A6)</f>
        <v>4</v>
      </c>
      <c r="C6" s="1">
        <v>9.0</v>
      </c>
      <c r="D6" s="1"/>
      <c r="E6" s="1"/>
      <c r="F6" s="21">
        <v>3.0</v>
      </c>
      <c r="G6" s="22" t="s">
        <v>102</v>
      </c>
      <c r="H6" s="21">
        <v>2.0</v>
      </c>
      <c r="I6" s="6"/>
      <c r="J6" s="6">
        <v>2.0</v>
      </c>
      <c r="K6" s="18">
        <f>countif(B2:B124,J6)</f>
        <v>1</v>
      </c>
      <c r="L6" s="18">
        <f>countif(F1:F124,J6)</f>
        <v>0</v>
      </c>
      <c r="M6" s="18">
        <f>countif(H1:H124,J6)</f>
        <v>102</v>
      </c>
      <c r="N6" s="12"/>
      <c r="O6" s="12" t="s">
        <v>22</v>
      </c>
      <c r="P6" s="12" t="s">
        <v>110</v>
      </c>
    </row>
    <row r="7">
      <c r="A7" s="19">
        <v>6.0</v>
      </c>
      <c r="B7" s="18">
        <f>countif(Nectar!D1:D1004,A7)</f>
        <v>3</v>
      </c>
      <c r="C7" s="1">
        <v>17.0</v>
      </c>
      <c r="D7" s="3"/>
      <c r="E7" s="3"/>
      <c r="F7" s="21">
        <v>3.0</v>
      </c>
      <c r="G7" s="22" t="s">
        <v>102</v>
      </c>
      <c r="H7" s="21">
        <v>2.0</v>
      </c>
      <c r="I7" s="6"/>
      <c r="J7" s="6">
        <v>1.0</v>
      </c>
      <c r="K7" s="18">
        <f>countif(B2:B124,J7)</f>
        <v>0</v>
      </c>
      <c r="L7" s="18">
        <f>countif(F1:F124,J7)</f>
        <v>0</v>
      </c>
      <c r="M7" s="18">
        <f>countif(H1:H124,J7)</f>
        <v>0</v>
      </c>
      <c r="N7" s="12"/>
      <c r="O7" s="12" t="s">
        <v>23</v>
      </c>
      <c r="P7" s="12" t="s">
        <v>115</v>
      </c>
    </row>
    <row r="8">
      <c r="A8" s="19">
        <v>7.0</v>
      </c>
      <c r="B8" s="18">
        <f>countif(Nectar!D1:D1005,A8)</f>
        <v>3</v>
      </c>
      <c r="C8" s="1">
        <v>17.0</v>
      </c>
      <c r="D8" s="3"/>
      <c r="E8" s="3"/>
      <c r="F8" s="21">
        <v>3.0</v>
      </c>
      <c r="G8" s="22" t="s">
        <v>102</v>
      </c>
      <c r="H8" s="21">
        <v>2.0</v>
      </c>
      <c r="I8" s="24"/>
      <c r="J8" s="6">
        <v>0.0</v>
      </c>
      <c r="K8" s="18">
        <f>countif(B2:B124,J8)</f>
        <v>7</v>
      </c>
      <c r="L8" s="18">
        <f>countif(F1:F124,J8)</f>
        <v>10</v>
      </c>
      <c r="M8" s="18">
        <f>countif(H1:H124,J8)</f>
        <v>12</v>
      </c>
      <c r="N8" s="12"/>
      <c r="O8" s="12" t="s">
        <v>24</v>
      </c>
      <c r="P8" s="12" t="s">
        <v>120</v>
      </c>
    </row>
    <row r="9">
      <c r="A9" s="23">
        <v>8.0</v>
      </c>
      <c r="B9" s="18">
        <f>countif(Nectar!D1:D1006,A9)</f>
        <v>3</v>
      </c>
      <c r="C9" s="1">
        <v>1.0</v>
      </c>
      <c r="D9" s="3"/>
      <c r="E9" s="3"/>
      <c r="F9" s="21">
        <v>3.0</v>
      </c>
      <c r="G9" s="22" t="s">
        <v>93</v>
      </c>
      <c r="H9" s="14">
        <v>2.0</v>
      </c>
      <c r="I9" s="25"/>
      <c r="J9" s="25" t="s">
        <v>124</v>
      </c>
      <c r="K9" s="3">
        <f>K7+K6+K5+K4+K3+K2</f>
        <v>116</v>
      </c>
      <c r="L9" s="3">
        <f t="shared" ref="L9:M9" si="2">L7+L6+L5+L4+L3</f>
        <v>113</v>
      </c>
      <c r="M9" s="3">
        <f t="shared" si="2"/>
        <v>111</v>
      </c>
      <c r="N9" s="12"/>
      <c r="O9" s="12" t="s">
        <v>25</v>
      </c>
      <c r="P9" s="12" t="s">
        <v>128</v>
      </c>
    </row>
    <row r="10">
      <c r="A10" s="19">
        <v>9.0</v>
      </c>
      <c r="B10" s="18">
        <f>countif(Nectar!D1:D1007,A10)</f>
        <v>3</v>
      </c>
      <c r="C10" s="1">
        <v>9.0</v>
      </c>
      <c r="D10" s="1"/>
      <c r="E10" s="1"/>
      <c r="F10" s="21">
        <v>3.0</v>
      </c>
      <c r="G10" s="22" t="s">
        <v>102</v>
      </c>
      <c r="H10" s="21">
        <v>2.0</v>
      </c>
      <c r="I10" s="1"/>
      <c r="N10" s="12"/>
      <c r="O10" s="12" t="s">
        <v>26</v>
      </c>
      <c r="P10" s="12" t="s">
        <v>131</v>
      </c>
    </row>
    <row r="11">
      <c r="A11" s="19">
        <v>10.0</v>
      </c>
      <c r="B11" s="18">
        <f>countif(Nectar!D1:D1008,A11)</f>
        <v>4</v>
      </c>
      <c r="C11" s="1">
        <v>19.0</v>
      </c>
      <c r="D11" s="1"/>
      <c r="E11" s="1"/>
      <c r="F11" s="21">
        <v>4.0</v>
      </c>
      <c r="G11" s="22" t="s">
        <v>102</v>
      </c>
      <c r="H11" s="21">
        <v>2.0</v>
      </c>
      <c r="I11" s="3"/>
      <c r="J11" s="25" t="s">
        <v>133</v>
      </c>
      <c r="K11" s="3">
        <f>K5+K4+K3+K2</f>
        <v>115</v>
      </c>
      <c r="L11" s="3">
        <f>L5+L4</f>
        <v>113</v>
      </c>
      <c r="M11" s="12">
        <f>M6+M5+M4</f>
        <v>111</v>
      </c>
      <c r="N11" s="12"/>
      <c r="O11" s="12" t="s">
        <v>27</v>
      </c>
      <c r="P11" s="12" t="s">
        <v>137</v>
      </c>
    </row>
    <row r="12">
      <c r="A12" s="19">
        <v>11.0</v>
      </c>
      <c r="B12" s="18">
        <f>countif(Nectar!D1:D1009,A12)</f>
        <v>3</v>
      </c>
      <c r="C12" s="1">
        <v>2.0</v>
      </c>
      <c r="D12" s="3"/>
      <c r="E12" s="3"/>
      <c r="F12" s="21">
        <v>3.0</v>
      </c>
      <c r="G12" s="22" t="s">
        <v>93</v>
      </c>
      <c r="H12" s="21">
        <v>2.0</v>
      </c>
      <c r="I12" s="3"/>
      <c r="J12" s="3"/>
      <c r="K12" s="3"/>
      <c r="L12" s="3"/>
      <c r="M12" s="12"/>
      <c r="N12" s="12"/>
      <c r="O12" s="12" t="s">
        <v>28</v>
      </c>
      <c r="P12" s="12" t="s">
        <v>138</v>
      </c>
    </row>
    <row r="13">
      <c r="A13" s="19">
        <v>12.0</v>
      </c>
      <c r="B13" s="18">
        <f>countif(Nectar!D1:D1010,A13)</f>
        <v>3</v>
      </c>
      <c r="C13" s="1">
        <v>12.0</v>
      </c>
      <c r="D13" s="3"/>
      <c r="E13" s="3"/>
      <c r="F13" s="21">
        <v>4.0</v>
      </c>
      <c r="G13" s="22" t="s">
        <v>102</v>
      </c>
      <c r="H13" s="21">
        <v>2.0</v>
      </c>
      <c r="I13" s="3"/>
      <c r="J13" s="3"/>
      <c r="K13" s="3"/>
      <c r="L13" s="3"/>
      <c r="M13" s="3"/>
      <c r="N13" s="12"/>
      <c r="O13" s="12" t="s">
        <v>29</v>
      </c>
      <c r="P13" s="12" t="s">
        <v>140</v>
      </c>
    </row>
    <row r="14">
      <c r="A14" s="19">
        <v>13.0</v>
      </c>
      <c r="B14" s="18">
        <f>countif(Nectar!D1:D1011,A14)</f>
        <v>3</v>
      </c>
      <c r="C14" s="1">
        <v>1.0</v>
      </c>
      <c r="D14" s="1"/>
      <c r="E14" s="1"/>
      <c r="F14" s="21">
        <v>3.0</v>
      </c>
      <c r="G14" s="22" t="s">
        <v>93</v>
      </c>
      <c r="H14" s="21">
        <v>2.0</v>
      </c>
      <c r="I14" s="3"/>
      <c r="J14" s="3"/>
      <c r="K14" s="3"/>
      <c r="L14" s="3"/>
      <c r="M14" s="3"/>
      <c r="N14" s="12"/>
      <c r="O14" s="12" t="s">
        <v>30</v>
      </c>
      <c r="P14" s="12" t="s">
        <v>141</v>
      </c>
    </row>
    <row r="15">
      <c r="A15" s="19">
        <v>14.0</v>
      </c>
      <c r="B15" s="18">
        <f>countif(Nectar!D1:D1012,A15)</f>
        <v>3</v>
      </c>
      <c r="C15" s="1">
        <v>20.0</v>
      </c>
      <c r="D15" s="3"/>
      <c r="E15" s="3"/>
      <c r="F15" s="21">
        <v>4.0</v>
      </c>
      <c r="G15" s="22" t="s">
        <v>93</v>
      </c>
      <c r="H15" s="21">
        <v>2.0</v>
      </c>
      <c r="I15" s="3"/>
      <c r="J15" s="3"/>
      <c r="K15" s="3"/>
      <c r="L15" s="3"/>
      <c r="M15" s="12"/>
      <c r="N15" s="12"/>
      <c r="O15" s="12" t="s">
        <v>14</v>
      </c>
      <c r="P15" s="12" t="s">
        <v>142</v>
      </c>
    </row>
    <row r="16">
      <c r="A16" s="19">
        <v>15.0</v>
      </c>
      <c r="B16" s="18">
        <f>countif(Nectar!D1:D1013,A16)</f>
        <v>4</v>
      </c>
      <c r="C16" s="1">
        <v>14.0</v>
      </c>
      <c r="D16" s="1"/>
      <c r="E16" s="1"/>
      <c r="F16" s="21">
        <v>4.0</v>
      </c>
      <c r="G16" s="22" t="s">
        <v>102</v>
      </c>
      <c r="H16" s="21">
        <v>2.0</v>
      </c>
      <c r="I16" s="3"/>
      <c r="J16" s="3"/>
      <c r="K16" s="3"/>
      <c r="L16" s="3"/>
      <c r="M16" s="12"/>
      <c r="N16" s="12"/>
      <c r="O16" s="12" t="s">
        <v>31</v>
      </c>
      <c r="P16" s="12" t="s">
        <v>143</v>
      </c>
    </row>
    <row r="17">
      <c r="A17" s="19">
        <v>16.0</v>
      </c>
      <c r="B17" s="18">
        <f>countif(Nectar!D1:D1014,A17)</f>
        <v>3</v>
      </c>
      <c r="C17" s="1">
        <v>7.0</v>
      </c>
      <c r="D17" s="3"/>
      <c r="E17" s="3"/>
      <c r="F17" s="21">
        <v>4.0</v>
      </c>
      <c r="G17" s="22" t="s">
        <v>102</v>
      </c>
      <c r="H17" s="21">
        <v>2.0</v>
      </c>
      <c r="I17" s="3"/>
      <c r="J17" s="3"/>
      <c r="K17" s="3"/>
      <c r="L17" s="3"/>
      <c r="M17" s="12"/>
      <c r="N17" s="12"/>
      <c r="O17" s="12" t="s">
        <v>32</v>
      </c>
      <c r="P17" s="12" t="s">
        <v>144</v>
      </c>
    </row>
    <row r="18">
      <c r="A18" s="19">
        <v>17.0</v>
      </c>
      <c r="B18" s="18">
        <f>countif(Nectar!D1:D1015,A18)</f>
        <v>4</v>
      </c>
      <c r="C18" s="1">
        <v>5.0</v>
      </c>
      <c r="D18" s="1"/>
      <c r="E18" s="1"/>
      <c r="F18" s="21">
        <v>4.0</v>
      </c>
      <c r="G18" s="22" t="s">
        <v>93</v>
      </c>
      <c r="H18" s="21">
        <v>2.0</v>
      </c>
      <c r="I18" s="3"/>
      <c r="J18" s="3"/>
      <c r="K18" s="3"/>
      <c r="L18" s="3"/>
      <c r="M18" s="12"/>
      <c r="N18" s="12"/>
      <c r="O18" s="12" t="s">
        <v>33</v>
      </c>
      <c r="P18" s="12" t="s">
        <v>145</v>
      </c>
    </row>
    <row r="19">
      <c r="A19" s="19">
        <v>18.0</v>
      </c>
      <c r="B19" s="18">
        <f>countif(Nectar!D1:D1016,A19)</f>
        <v>4</v>
      </c>
      <c r="C19" s="1">
        <v>14.0</v>
      </c>
      <c r="D19" s="1"/>
      <c r="E19" s="1"/>
      <c r="F19" s="21">
        <v>4.0</v>
      </c>
      <c r="G19" s="22" t="s">
        <v>102</v>
      </c>
      <c r="H19" s="21">
        <v>2.0</v>
      </c>
      <c r="I19" s="3"/>
      <c r="J19" s="3"/>
      <c r="K19" s="3"/>
      <c r="L19" s="3"/>
      <c r="M19" s="12"/>
      <c r="N19" s="12"/>
      <c r="O19" s="12" t="s">
        <v>34</v>
      </c>
      <c r="P19" s="12" t="s">
        <v>146</v>
      </c>
    </row>
    <row r="20">
      <c r="A20" s="19">
        <v>19.0</v>
      </c>
      <c r="B20" s="18">
        <f>countif(Nectar!D1:D1017,A20)</f>
        <v>6</v>
      </c>
      <c r="C20" s="1">
        <v>1.0</v>
      </c>
      <c r="D20" s="1"/>
      <c r="E20" s="1"/>
      <c r="F20" s="21">
        <v>3.0</v>
      </c>
      <c r="G20" s="26" t="s">
        <v>93</v>
      </c>
      <c r="H20" s="14">
        <v>2.0</v>
      </c>
      <c r="I20" s="3"/>
      <c r="J20" s="3"/>
      <c r="K20" s="3"/>
      <c r="L20" s="3"/>
      <c r="M20" s="12"/>
      <c r="N20" s="12"/>
      <c r="O20" s="12" t="s">
        <v>35</v>
      </c>
      <c r="P20" s="12" t="s">
        <v>147</v>
      </c>
    </row>
    <row r="21">
      <c r="A21" s="19">
        <v>20.0</v>
      </c>
      <c r="B21" s="18">
        <f>countif(Nectar!D1:D1018,A21)</f>
        <v>4</v>
      </c>
      <c r="C21" s="1">
        <v>1.0</v>
      </c>
      <c r="D21" s="1"/>
      <c r="E21" s="1"/>
      <c r="F21" s="21">
        <v>3.0</v>
      </c>
      <c r="G21" s="22" t="s">
        <v>102</v>
      </c>
      <c r="H21" s="21">
        <v>2.0</v>
      </c>
      <c r="I21" s="3"/>
      <c r="J21" s="3"/>
      <c r="K21" s="3"/>
      <c r="L21" s="3"/>
      <c r="M21" s="12"/>
      <c r="N21" s="12"/>
      <c r="O21" s="12" t="s">
        <v>36</v>
      </c>
      <c r="P21" s="12" t="s">
        <v>149</v>
      </c>
    </row>
    <row r="22">
      <c r="A22" s="19">
        <v>21.0</v>
      </c>
      <c r="B22" s="27">
        <f>countif(Nectar!D1:D1019,A22)</f>
        <v>3</v>
      </c>
      <c r="C22" s="1">
        <v>3.0</v>
      </c>
      <c r="D22" s="3"/>
      <c r="E22" s="3"/>
      <c r="F22" s="21">
        <v>4.0</v>
      </c>
      <c r="G22" s="22" t="s">
        <v>102</v>
      </c>
      <c r="H22" s="21">
        <v>2.0</v>
      </c>
      <c r="I22" s="3"/>
      <c r="J22" s="3"/>
      <c r="K22" s="3"/>
      <c r="L22" s="3"/>
      <c r="M22" s="12"/>
      <c r="N22" s="12"/>
      <c r="O22" s="12" t="s">
        <v>37</v>
      </c>
      <c r="P22" s="12" t="s">
        <v>151</v>
      </c>
    </row>
    <row r="23">
      <c r="A23" s="19">
        <v>22.0</v>
      </c>
      <c r="B23" s="18">
        <f>countif(Nectar!D1:D1020,A23)</f>
        <v>3</v>
      </c>
      <c r="C23" s="1">
        <v>5.0</v>
      </c>
      <c r="D23" s="3"/>
      <c r="E23" s="3"/>
      <c r="F23" s="21">
        <v>3.0</v>
      </c>
      <c r="G23" s="22" t="s">
        <v>102</v>
      </c>
      <c r="H23" s="21">
        <v>2.0</v>
      </c>
      <c r="I23" s="3"/>
      <c r="J23" s="3"/>
      <c r="K23" s="3"/>
      <c r="L23" s="3"/>
      <c r="M23" s="12"/>
      <c r="N23" s="12"/>
      <c r="O23" s="12" t="s">
        <v>38</v>
      </c>
      <c r="P23" s="12" t="s">
        <v>152</v>
      </c>
    </row>
    <row r="24">
      <c r="A24" s="19">
        <v>23.0</v>
      </c>
      <c r="B24" s="18">
        <f>countif(Nectar!D1:D1021,A24)</f>
        <v>3</v>
      </c>
      <c r="C24" s="1">
        <v>3.0</v>
      </c>
      <c r="D24" s="3"/>
      <c r="E24" s="3"/>
      <c r="F24" s="21">
        <v>3.0</v>
      </c>
      <c r="G24" s="22" t="s">
        <v>102</v>
      </c>
      <c r="H24" s="21">
        <v>2.0</v>
      </c>
      <c r="I24" s="3"/>
      <c r="J24" s="3"/>
      <c r="K24" s="3"/>
      <c r="L24" s="3"/>
      <c r="M24" s="12"/>
      <c r="N24" s="12"/>
      <c r="O24" s="12" t="s">
        <v>154</v>
      </c>
      <c r="P24" s="12" t="s">
        <v>155</v>
      </c>
    </row>
    <row r="25">
      <c r="A25" s="19">
        <v>24.0</v>
      </c>
      <c r="B25" s="18">
        <f>countif(Nectar!D1:D1022,A25)</f>
        <v>3</v>
      </c>
      <c r="C25" s="1">
        <v>2.0</v>
      </c>
      <c r="D25" s="1"/>
      <c r="E25" s="1"/>
      <c r="F25" s="21">
        <v>3.0</v>
      </c>
      <c r="G25" s="22" t="s">
        <v>93</v>
      </c>
      <c r="H25" s="21">
        <v>2.0</v>
      </c>
      <c r="I25" s="3"/>
      <c r="J25" s="3"/>
      <c r="K25" s="3"/>
      <c r="L25" s="1" t="s">
        <v>156</v>
      </c>
      <c r="M25" s="12"/>
      <c r="N25" s="12"/>
      <c r="O25" s="12" t="s">
        <v>40</v>
      </c>
      <c r="P25" s="12" t="s">
        <v>157</v>
      </c>
    </row>
    <row r="26">
      <c r="A26" s="19">
        <v>25.0</v>
      </c>
      <c r="B26" s="18">
        <f>countif(Nectar!D1:D1023,A26)</f>
        <v>3</v>
      </c>
      <c r="C26" s="1">
        <v>1.0</v>
      </c>
      <c r="D26" s="3"/>
      <c r="E26" s="3"/>
      <c r="F26" s="21">
        <v>3.0</v>
      </c>
      <c r="G26" s="5" t="s">
        <v>93</v>
      </c>
      <c r="H26" s="14">
        <v>0.0</v>
      </c>
      <c r="I26" s="1"/>
      <c r="J26" s="1" t="s">
        <v>158</v>
      </c>
      <c r="K26" s="3"/>
      <c r="L26" s="3"/>
      <c r="M26" s="12"/>
      <c r="N26" s="12"/>
      <c r="O26" s="12" t="s">
        <v>41</v>
      </c>
      <c r="P26" s="12" t="s">
        <v>159</v>
      </c>
    </row>
    <row r="27">
      <c r="A27" s="19">
        <v>26.0</v>
      </c>
      <c r="B27" s="18">
        <f>countif(Nectar!D1:D1024,A27)</f>
        <v>3</v>
      </c>
      <c r="C27" s="1">
        <v>2.0</v>
      </c>
      <c r="D27" s="3"/>
      <c r="E27" s="3"/>
      <c r="F27" s="21">
        <v>4.0</v>
      </c>
      <c r="G27" s="22" t="s">
        <v>102</v>
      </c>
      <c r="H27" s="21">
        <v>2.0</v>
      </c>
      <c r="I27" s="1"/>
      <c r="J27" s="1"/>
      <c r="K27" s="3"/>
      <c r="L27" s="3"/>
      <c r="M27" s="12"/>
      <c r="N27" s="12"/>
      <c r="O27" s="12" t="s">
        <v>42</v>
      </c>
      <c r="P27" s="12" t="s">
        <v>160</v>
      </c>
    </row>
    <row r="28">
      <c r="A28" s="19">
        <v>27.0</v>
      </c>
      <c r="B28" s="18">
        <f>countif(Nectar!D1:D1025,A28)</f>
        <v>4</v>
      </c>
      <c r="C28" s="1"/>
      <c r="D28" s="1"/>
      <c r="E28" s="1"/>
      <c r="F28" s="21">
        <v>4.0</v>
      </c>
      <c r="G28" s="22" t="s">
        <v>93</v>
      </c>
      <c r="H28" s="21">
        <v>2.0</v>
      </c>
      <c r="I28" s="3"/>
      <c r="J28" s="3"/>
      <c r="K28" s="3"/>
      <c r="L28" s="3"/>
    </row>
    <row r="29">
      <c r="A29" s="19">
        <v>28.0</v>
      </c>
      <c r="B29" s="18">
        <f>countif(Nectar!D1:D1026,A29)</f>
        <v>4</v>
      </c>
      <c r="C29" s="1">
        <v>1.0</v>
      </c>
      <c r="D29" s="1"/>
      <c r="E29" s="1"/>
      <c r="F29" s="21">
        <v>4.0</v>
      </c>
      <c r="G29" s="22" t="s">
        <v>102</v>
      </c>
      <c r="H29" s="21">
        <v>2.0</v>
      </c>
      <c r="I29" s="1"/>
      <c r="J29" s="1"/>
      <c r="K29" s="3"/>
      <c r="L29" s="3"/>
    </row>
    <row r="30">
      <c r="A30" s="19">
        <v>29.0</v>
      </c>
      <c r="B30" s="18">
        <f>countif(Nectar!D1:D1027,A30)</f>
        <v>3</v>
      </c>
      <c r="C30" s="1">
        <v>4.0</v>
      </c>
      <c r="D30" s="3"/>
      <c r="E30" s="3"/>
      <c r="F30" s="21">
        <v>4.0</v>
      </c>
      <c r="G30" s="22" t="s">
        <v>102</v>
      </c>
      <c r="H30" s="21">
        <v>2.0</v>
      </c>
      <c r="I30" s="3"/>
      <c r="J30" s="3"/>
      <c r="K30" s="3"/>
      <c r="L30" s="3"/>
    </row>
    <row r="31">
      <c r="A31" s="19">
        <v>30.0</v>
      </c>
      <c r="B31" s="18">
        <f>countif(Nectar!D1:D1028,A31)</f>
        <v>4</v>
      </c>
      <c r="C31" s="1">
        <v>4.0</v>
      </c>
      <c r="D31" s="1"/>
      <c r="E31" s="1"/>
      <c r="F31" s="21">
        <v>3.0</v>
      </c>
      <c r="G31" s="22" t="s">
        <v>93</v>
      </c>
      <c r="H31" s="21">
        <v>3.0</v>
      </c>
      <c r="I31" s="1"/>
      <c r="J31" s="1"/>
      <c r="K31" s="3"/>
      <c r="L31" s="3"/>
    </row>
    <row r="32">
      <c r="A32" s="19">
        <v>31.0</v>
      </c>
      <c r="B32" s="18">
        <f>countif(Nectar!D1:D1029,A32)</f>
        <v>3</v>
      </c>
      <c r="C32" s="3"/>
      <c r="D32" s="3"/>
      <c r="E32" s="3"/>
      <c r="F32" s="21">
        <v>4.0</v>
      </c>
      <c r="G32" s="22" t="s">
        <v>93</v>
      </c>
      <c r="H32" s="21">
        <v>2.0</v>
      </c>
      <c r="I32" s="3"/>
      <c r="J32" s="3"/>
      <c r="K32" s="3"/>
      <c r="L32" s="3"/>
    </row>
    <row r="33">
      <c r="A33" s="19">
        <v>32.0</v>
      </c>
      <c r="B33" s="18">
        <f>countif(Nectar!D1:D1030,A33)</f>
        <v>5</v>
      </c>
      <c r="C33" s="1">
        <v>1.0</v>
      </c>
      <c r="D33" s="1"/>
      <c r="E33" s="1"/>
      <c r="F33" s="21">
        <v>3.0</v>
      </c>
      <c r="G33" s="22" t="s">
        <v>102</v>
      </c>
      <c r="H33" s="21">
        <v>2.0</v>
      </c>
      <c r="I33" s="1"/>
      <c r="J33" s="1"/>
      <c r="K33" s="3"/>
      <c r="L33" s="3"/>
    </row>
    <row r="34">
      <c r="A34" s="19">
        <v>33.0</v>
      </c>
      <c r="B34" s="18">
        <f>countif(Nectar!D1:D1031,A34)</f>
        <v>5</v>
      </c>
      <c r="C34" s="1">
        <v>7.0</v>
      </c>
      <c r="D34" s="28"/>
      <c r="E34" s="28"/>
      <c r="F34" s="21">
        <v>3.0</v>
      </c>
      <c r="G34" s="22" t="s">
        <v>93</v>
      </c>
      <c r="H34" s="14">
        <v>2.0</v>
      </c>
      <c r="I34" s="1"/>
      <c r="J34" s="1"/>
      <c r="K34" s="3"/>
      <c r="L34" s="3"/>
    </row>
    <row r="35">
      <c r="A35" s="19">
        <v>34.0</v>
      </c>
      <c r="B35" s="18">
        <f>countif(Nectar!D1:D1032,A35)</f>
        <v>3</v>
      </c>
      <c r="C35" s="1">
        <v>5.0</v>
      </c>
      <c r="D35" s="3"/>
      <c r="E35" s="3"/>
      <c r="F35" s="21">
        <v>4.0</v>
      </c>
      <c r="G35" s="22" t="s">
        <v>93</v>
      </c>
      <c r="H35" s="21">
        <v>2.0</v>
      </c>
      <c r="I35" s="3"/>
      <c r="J35" s="3"/>
      <c r="K35" s="3"/>
      <c r="L35" s="3"/>
    </row>
    <row r="36">
      <c r="A36" s="19">
        <v>35.0</v>
      </c>
      <c r="B36" s="18">
        <f>countif(Nectar!D1:D1033,A36)</f>
        <v>3</v>
      </c>
      <c r="C36" s="1">
        <v>3.0</v>
      </c>
      <c r="D36" s="3"/>
      <c r="E36" s="3"/>
      <c r="F36" s="21">
        <v>3.0</v>
      </c>
      <c r="G36" s="22" t="s">
        <v>93</v>
      </c>
      <c r="H36" s="14">
        <v>2.0</v>
      </c>
      <c r="I36" s="3"/>
      <c r="J36" s="3"/>
      <c r="K36" s="3"/>
      <c r="L36" s="3"/>
    </row>
    <row r="37">
      <c r="A37" s="19">
        <v>36.0</v>
      </c>
      <c r="B37" s="18">
        <f>countif(Nectar!D1:D1034,A37)</f>
        <v>3</v>
      </c>
      <c r="C37" s="1">
        <v>2.0</v>
      </c>
      <c r="D37" s="1"/>
      <c r="E37" s="1"/>
      <c r="F37" s="21">
        <v>3.0</v>
      </c>
      <c r="G37" s="22" t="s">
        <v>102</v>
      </c>
      <c r="H37" s="21">
        <v>2.0</v>
      </c>
      <c r="I37" s="1"/>
      <c r="J37" s="1"/>
      <c r="K37" s="3"/>
      <c r="L37" s="3"/>
    </row>
    <row r="38">
      <c r="A38" s="19">
        <v>37.0</v>
      </c>
      <c r="B38" s="18">
        <f>countif(Nectar!D1:D1035,A38)</f>
        <v>5</v>
      </c>
      <c r="C38" s="1">
        <v>4.0</v>
      </c>
      <c r="D38" s="1"/>
      <c r="E38" s="1"/>
      <c r="F38" s="21">
        <v>3.0</v>
      </c>
      <c r="G38" s="22" t="s">
        <v>102</v>
      </c>
      <c r="H38" s="21">
        <v>2.0</v>
      </c>
      <c r="I38" s="3"/>
      <c r="J38" s="3"/>
      <c r="K38" s="3"/>
      <c r="L38" s="3"/>
    </row>
    <row r="39">
      <c r="A39" s="19">
        <v>38.0</v>
      </c>
      <c r="B39" s="18">
        <f>countif(Nectar!D1:D1036,A39)</f>
        <v>3</v>
      </c>
      <c r="C39" s="1">
        <v>1.0</v>
      </c>
      <c r="D39" s="3"/>
      <c r="E39" s="3"/>
      <c r="F39" s="21">
        <v>3.0</v>
      </c>
      <c r="G39" s="22" t="s">
        <v>93</v>
      </c>
      <c r="H39" s="14">
        <v>2.0</v>
      </c>
      <c r="I39" s="6"/>
      <c r="J39" s="6" t="s">
        <v>164</v>
      </c>
      <c r="K39" s="24"/>
      <c r="L39" s="24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>
      <c r="A40" s="19">
        <v>39.0</v>
      </c>
      <c r="B40" s="18">
        <f>countif(Nectar!D1:D1037,A40)</f>
        <v>3</v>
      </c>
      <c r="C40" s="1">
        <v>1.0</v>
      </c>
      <c r="D40" s="3"/>
      <c r="E40" s="3"/>
      <c r="F40" s="21">
        <v>3.0</v>
      </c>
      <c r="G40" s="22" t="s">
        <v>102</v>
      </c>
      <c r="H40" s="21">
        <v>2.0</v>
      </c>
      <c r="I40" s="3"/>
      <c r="J40" s="3"/>
      <c r="K40" s="3"/>
      <c r="L40" s="3"/>
    </row>
    <row r="41">
      <c r="A41" s="19">
        <v>40.0</v>
      </c>
      <c r="B41" s="18">
        <f>countif(Nectar!D1:D1038,A41)</f>
        <v>3</v>
      </c>
      <c r="C41" s="1">
        <v>1.0</v>
      </c>
      <c r="D41" s="3"/>
      <c r="E41" s="3"/>
      <c r="F41" s="21">
        <v>3.0</v>
      </c>
      <c r="G41" s="22" t="s">
        <v>93</v>
      </c>
      <c r="H41" s="21">
        <v>2.0</v>
      </c>
      <c r="I41" s="3"/>
      <c r="J41" s="3"/>
      <c r="K41" s="3"/>
      <c r="L41" s="3"/>
    </row>
    <row r="42">
      <c r="A42" s="19">
        <v>41.0</v>
      </c>
      <c r="B42" s="18">
        <f>countif(Nectar!D1:D1039,A42)</f>
        <v>3</v>
      </c>
      <c r="C42" s="1">
        <v>10.0</v>
      </c>
      <c r="D42" s="3"/>
      <c r="E42" s="3"/>
      <c r="F42" s="21">
        <v>3.0</v>
      </c>
      <c r="G42" s="22" t="s">
        <v>102</v>
      </c>
      <c r="H42" s="21">
        <v>2.0</v>
      </c>
      <c r="I42" s="1"/>
      <c r="J42" s="1"/>
      <c r="K42" s="3"/>
      <c r="L42" s="3"/>
    </row>
    <row r="43">
      <c r="A43" s="19">
        <v>42.0</v>
      </c>
      <c r="B43" s="18">
        <f>countif(Nectar!D1:D1040,A43)</f>
        <v>4</v>
      </c>
      <c r="C43" s="1">
        <v>2.0</v>
      </c>
      <c r="D43" s="3"/>
      <c r="E43" s="3"/>
      <c r="F43" s="21">
        <v>3.0</v>
      </c>
      <c r="G43" s="22" t="s">
        <v>102</v>
      </c>
      <c r="H43" s="21">
        <v>2.0</v>
      </c>
      <c r="I43" s="3"/>
      <c r="J43" s="3"/>
      <c r="K43" s="3"/>
      <c r="L43" s="3"/>
    </row>
    <row r="44">
      <c r="A44" s="19">
        <v>43.0</v>
      </c>
      <c r="B44" s="18">
        <f>countif(Nectar!D1:D1041,A44)</f>
        <v>4</v>
      </c>
      <c r="C44" s="1">
        <v>5.0</v>
      </c>
      <c r="D44" s="1"/>
      <c r="E44" s="1"/>
      <c r="F44" s="21">
        <v>3.0</v>
      </c>
      <c r="G44" s="22" t="s">
        <v>102</v>
      </c>
      <c r="H44" s="21">
        <v>2.0</v>
      </c>
      <c r="I44" s="3"/>
      <c r="J44" s="3"/>
      <c r="K44" s="3"/>
      <c r="L44" s="3"/>
    </row>
    <row r="45">
      <c r="A45" s="19">
        <v>44.0</v>
      </c>
      <c r="B45" s="18">
        <f>countif(Nectar!D1:D1042,A45)</f>
        <v>3</v>
      </c>
      <c r="C45" s="1">
        <v>1.0</v>
      </c>
      <c r="D45" s="3"/>
      <c r="E45" s="3"/>
      <c r="F45" s="21">
        <v>3.0</v>
      </c>
      <c r="G45" s="22" t="s">
        <v>93</v>
      </c>
      <c r="H45" s="21">
        <v>2.0</v>
      </c>
      <c r="I45" s="3"/>
      <c r="J45" s="3"/>
      <c r="K45" s="3"/>
      <c r="L45" s="3"/>
    </row>
    <row r="46">
      <c r="A46" s="19">
        <v>45.0</v>
      </c>
      <c r="B46" s="18">
        <f>countif(Nectar!D1:D1043,A46)</f>
        <v>6</v>
      </c>
      <c r="C46" s="1">
        <v>3.0</v>
      </c>
      <c r="D46" s="1"/>
      <c r="E46" s="1"/>
      <c r="F46" s="21">
        <v>3.0</v>
      </c>
      <c r="G46" s="22" t="s">
        <v>102</v>
      </c>
      <c r="H46" s="21">
        <v>2.0</v>
      </c>
      <c r="I46" s="3"/>
      <c r="J46" s="3"/>
      <c r="K46" s="3"/>
      <c r="L46" s="3"/>
    </row>
    <row r="47">
      <c r="A47" s="19">
        <v>46.0</v>
      </c>
      <c r="B47" s="18">
        <f>countif(Nectar!D1:D1044,A47)</f>
        <v>4</v>
      </c>
      <c r="C47" s="1">
        <v>4.0</v>
      </c>
      <c r="D47" s="1"/>
      <c r="E47" s="1"/>
      <c r="F47" s="21">
        <v>3.0</v>
      </c>
      <c r="G47" s="22" t="s">
        <v>102</v>
      </c>
      <c r="H47" s="21">
        <v>2.0</v>
      </c>
      <c r="I47" s="3"/>
      <c r="J47" s="3"/>
      <c r="K47" s="3"/>
      <c r="L47" s="3"/>
    </row>
    <row r="48">
      <c r="A48" s="1">
        <v>47.0</v>
      </c>
      <c r="B48" s="18">
        <f>countif(Nectar!D1:D1045,A48)</f>
        <v>0</v>
      </c>
      <c r="C48" s="1">
        <v>3.0</v>
      </c>
      <c r="D48" s="3"/>
      <c r="E48" s="3"/>
      <c r="F48" s="14">
        <v>0.0</v>
      </c>
      <c r="G48" s="5" t="s">
        <v>93</v>
      </c>
      <c r="H48" s="14">
        <v>0.0</v>
      </c>
      <c r="I48" s="3"/>
      <c r="J48" s="3"/>
      <c r="K48" s="3"/>
      <c r="L48" s="3"/>
    </row>
    <row r="49">
      <c r="A49" s="19">
        <v>48.0</v>
      </c>
      <c r="B49" s="18">
        <f>countif(Nectar!D1:D1046,A49)</f>
        <v>3</v>
      </c>
      <c r="C49" s="1">
        <v>1.0</v>
      </c>
      <c r="D49" s="3"/>
      <c r="E49" s="3"/>
      <c r="F49" s="21">
        <v>3.0</v>
      </c>
      <c r="G49" s="22" t="s">
        <v>93</v>
      </c>
      <c r="H49" s="14">
        <v>2.0</v>
      </c>
      <c r="I49" s="3"/>
      <c r="J49" s="3"/>
      <c r="K49" s="3"/>
      <c r="L49" s="3"/>
    </row>
    <row r="50">
      <c r="A50" s="19">
        <v>49.0</v>
      </c>
      <c r="B50" s="18">
        <f>countif(Nectar!D1:D1047,A50)</f>
        <v>3</v>
      </c>
      <c r="C50" s="1">
        <v>2.0</v>
      </c>
      <c r="D50" s="3"/>
      <c r="E50" s="3"/>
      <c r="F50" s="21">
        <v>3.0</v>
      </c>
      <c r="G50" s="22" t="s">
        <v>93</v>
      </c>
      <c r="H50" s="21">
        <v>2.0</v>
      </c>
      <c r="I50" s="1"/>
      <c r="J50" s="1"/>
      <c r="K50" s="3"/>
      <c r="L50" s="3"/>
    </row>
    <row r="51">
      <c r="A51" s="19">
        <v>50.0</v>
      </c>
      <c r="B51" s="18">
        <f>countif(Nectar!D1:D1048,A51)</f>
        <v>3</v>
      </c>
      <c r="C51" s="1">
        <v>5.0</v>
      </c>
      <c r="D51" s="3"/>
      <c r="E51" s="3"/>
      <c r="F51" s="21">
        <v>3.0</v>
      </c>
      <c r="G51" s="22" t="s">
        <v>102</v>
      </c>
      <c r="H51" s="14">
        <v>2.0</v>
      </c>
      <c r="I51" s="3"/>
      <c r="J51" s="3"/>
      <c r="K51" s="3"/>
      <c r="L51" s="3"/>
    </row>
    <row r="52">
      <c r="A52" s="19">
        <v>51.0</v>
      </c>
      <c r="B52" s="18">
        <f>countif(Nectar!D1:D1049,A52)</f>
        <v>3</v>
      </c>
      <c r="C52" s="1">
        <v>6.0</v>
      </c>
      <c r="D52" s="3"/>
      <c r="E52" s="3"/>
      <c r="F52" s="21">
        <v>3.0</v>
      </c>
      <c r="G52" s="22" t="s">
        <v>102</v>
      </c>
      <c r="H52" s="14">
        <v>2.0</v>
      </c>
      <c r="I52" s="3"/>
      <c r="J52" s="3"/>
      <c r="K52" s="3"/>
      <c r="L52" s="3"/>
    </row>
    <row r="53">
      <c r="A53" s="19">
        <v>52.0</v>
      </c>
      <c r="B53" s="18">
        <f>countif(Nectar!D1:D999,A53)</f>
        <v>3</v>
      </c>
      <c r="C53" s="1">
        <v>12.0</v>
      </c>
      <c r="D53" s="3"/>
      <c r="E53" s="3"/>
      <c r="F53" s="21">
        <v>3.0</v>
      </c>
      <c r="G53" s="22" t="s">
        <v>102</v>
      </c>
      <c r="H53" s="14">
        <v>2.0</v>
      </c>
      <c r="I53" s="1"/>
      <c r="J53" s="1"/>
      <c r="K53" s="3"/>
      <c r="L53" s="3"/>
    </row>
    <row r="54">
      <c r="A54" s="19">
        <v>53.0</v>
      </c>
      <c r="B54" s="18">
        <f>countif(Nectar!D1:D1000,A54)</f>
        <v>4</v>
      </c>
      <c r="C54" s="1">
        <v>1.0</v>
      </c>
      <c r="D54" s="3"/>
      <c r="E54" s="3"/>
      <c r="F54" s="21">
        <v>3.0</v>
      </c>
      <c r="G54" s="22" t="s">
        <v>93</v>
      </c>
      <c r="H54" s="14">
        <v>2.0</v>
      </c>
      <c r="I54" s="3"/>
      <c r="J54" s="3"/>
      <c r="K54" s="3"/>
      <c r="L54" s="3"/>
    </row>
    <row r="55">
      <c r="A55" s="1">
        <v>54.0</v>
      </c>
      <c r="B55" s="18">
        <f>countif(Nectar!D1:D1001,A55)</f>
        <v>0</v>
      </c>
      <c r="C55" s="1"/>
      <c r="D55" s="3"/>
      <c r="E55" s="3"/>
      <c r="F55" s="14">
        <v>0.0</v>
      </c>
      <c r="G55" s="5" t="s">
        <v>93</v>
      </c>
      <c r="H55" s="14">
        <v>0.0</v>
      </c>
      <c r="I55" s="3"/>
      <c r="J55" s="3"/>
      <c r="K55" s="3"/>
      <c r="L55" s="3"/>
    </row>
    <row r="56">
      <c r="A56" s="19">
        <v>55.0</v>
      </c>
      <c r="B56" s="18">
        <f>countif(Nectar!D1:D1002,A56)</f>
        <v>4</v>
      </c>
      <c r="C56" s="1">
        <v>4.0</v>
      </c>
      <c r="D56" s="1"/>
      <c r="E56" s="3"/>
      <c r="F56" s="21">
        <v>3.0</v>
      </c>
      <c r="G56" s="22" t="s">
        <v>93</v>
      </c>
      <c r="H56" s="14">
        <v>2.0</v>
      </c>
      <c r="I56" s="3"/>
      <c r="J56" s="3"/>
      <c r="K56" s="3"/>
      <c r="L56" s="3"/>
    </row>
    <row r="57">
      <c r="A57" s="19">
        <v>56.0</v>
      </c>
      <c r="B57" s="18">
        <f>countif(Nectar!D1:D1054,A57)</f>
        <v>3</v>
      </c>
      <c r="C57" s="1">
        <v>4.0</v>
      </c>
      <c r="D57" s="3"/>
      <c r="E57" s="3"/>
      <c r="F57" s="21">
        <v>3.0</v>
      </c>
      <c r="G57" s="22" t="s">
        <v>102</v>
      </c>
      <c r="H57" s="14">
        <v>2.0</v>
      </c>
      <c r="I57" s="1"/>
      <c r="J57" s="1"/>
      <c r="K57" s="3"/>
      <c r="L57" s="3"/>
    </row>
    <row r="58">
      <c r="A58" s="19">
        <v>57.0</v>
      </c>
      <c r="B58" s="18">
        <f>countif(Nectar!D1:D1055,A58)</f>
        <v>3</v>
      </c>
      <c r="C58" s="1">
        <v>2.0</v>
      </c>
      <c r="D58" s="3"/>
      <c r="E58" s="3"/>
      <c r="F58" s="21">
        <v>3.0</v>
      </c>
      <c r="G58" s="22" t="s">
        <v>102</v>
      </c>
      <c r="H58" s="14">
        <v>2.0</v>
      </c>
      <c r="I58" s="3"/>
      <c r="J58" s="3"/>
      <c r="K58" s="3"/>
      <c r="L58" s="3"/>
    </row>
    <row r="59">
      <c r="A59" s="19">
        <v>58.0</v>
      </c>
      <c r="B59" s="18">
        <f>countif(Nectar!D1:D1056,A59)</f>
        <v>4</v>
      </c>
      <c r="C59" s="1">
        <v>2.0</v>
      </c>
      <c r="D59" s="1"/>
      <c r="E59" s="1"/>
      <c r="F59" s="21">
        <v>3.0</v>
      </c>
      <c r="G59" s="22" t="s">
        <v>102</v>
      </c>
      <c r="H59" s="14">
        <v>2.0</v>
      </c>
      <c r="I59" s="3"/>
      <c r="J59" s="3"/>
      <c r="K59" s="3"/>
      <c r="L59" s="3"/>
    </row>
    <row r="60">
      <c r="A60" s="19">
        <v>59.0</v>
      </c>
      <c r="B60" s="18">
        <f>countif(Nectar!D1:D1057,A60)</f>
        <v>4</v>
      </c>
      <c r="C60" s="1">
        <v>4.0</v>
      </c>
      <c r="D60" s="1"/>
      <c r="E60" s="1"/>
      <c r="F60" s="21">
        <v>3.0</v>
      </c>
      <c r="G60" s="22" t="s">
        <v>102</v>
      </c>
      <c r="H60" s="14">
        <v>2.0</v>
      </c>
      <c r="I60" s="1"/>
      <c r="J60" s="1"/>
      <c r="K60" s="3"/>
      <c r="L60" s="3"/>
    </row>
    <row r="61">
      <c r="A61" s="30">
        <v>60.0</v>
      </c>
      <c r="B61" s="18">
        <f>countif(Nectar!D1:D1058,A61)</f>
        <v>4</v>
      </c>
      <c r="C61" s="1">
        <v>5.0</v>
      </c>
      <c r="D61" s="1"/>
      <c r="E61" s="1"/>
      <c r="F61" s="21">
        <v>3.0</v>
      </c>
      <c r="G61" s="22" t="s">
        <v>93</v>
      </c>
      <c r="H61" s="14">
        <v>4.0</v>
      </c>
      <c r="I61" s="1"/>
      <c r="J61" s="1"/>
      <c r="K61" s="3"/>
      <c r="L61" s="3"/>
    </row>
    <row r="62">
      <c r="A62" s="19">
        <v>61.0</v>
      </c>
      <c r="B62" s="18">
        <f>countif(Nectar!D1:D1059,A62)</f>
        <v>4</v>
      </c>
      <c r="C62" s="1">
        <v>1.0</v>
      </c>
      <c r="D62" s="1" t="s">
        <v>174</v>
      </c>
      <c r="E62" s="1"/>
      <c r="F62" s="21">
        <v>3.0</v>
      </c>
      <c r="G62" s="22" t="s">
        <v>93</v>
      </c>
      <c r="H62" s="14">
        <v>2.0</v>
      </c>
      <c r="I62" s="3"/>
      <c r="J62" s="3"/>
      <c r="K62" s="3"/>
      <c r="L62" s="3"/>
    </row>
    <row r="63">
      <c r="A63" s="19">
        <v>62.0</v>
      </c>
      <c r="B63" s="18">
        <f>countif(Nectar!D1:D1060,A63)</f>
        <v>4</v>
      </c>
      <c r="C63" s="1">
        <v>11.0</v>
      </c>
      <c r="D63" s="1"/>
      <c r="E63" s="1"/>
      <c r="F63" s="21">
        <v>3.0</v>
      </c>
      <c r="G63" s="22" t="s">
        <v>93</v>
      </c>
      <c r="H63" s="14">
        <v>2.0</v>
      </c>
      <c r="I63" s="3"/>
      <c r="J63" s="3"/>
      <c r="K63" s="3"/>
      <c r="L63" s="3"/>
    </row>
    <row r="64">
      <c r="A64" s="19">
        <v>63.0</v>
      </c>
      <c r="B64" s="18">
        <f>countif(Nectar!D1:D1061,A64)</f>
        <v>3</v>
      </c>
      <c r="C64" s="1">
        <v>6.0</v>
      </c>
      <c r="D64" s="3"/>
      <c r="E64" s="3"/>
      <c r="F64" s="21">
        <v>3.0</v>
      </c>
      <c r="G64" s="22" t="s">
        <v>102</v>
      </c>
      <c r="H64" s="14">
        <v>2.0</v>
      </c>
      <c r="I64" s="3"/>
      <c r="J64" s="3"/>
      <c r="K64" s="3"/>
      <c r="L64" s="3"/>
    </row>
    <row r="65">
      <c r="A65" s="19">
        <v>64.0</v>
      </c>
      <c r="B65" s="18">
        <f>countif(Nectar!D1:D1062,A65)</f>
        <v>4</v>
      </c>
      <c r="C65" s="1">
        <v>3.0</v>
      </c>
      <c r="D65" s="1"/>
      <c r="E65" s="1"/>
      <c r="F65" s="21">
        <v>3.0</v>
      </c>
      <c r="G65" s="22" t="s">
        <v>93</v>
      </c>
      <c r="H65" s="14">
        <v>3.0</v>
      </c>
      <c r="I65" s="3"/>
      <c r="J65" s="3"/>
      <c r="K65" s="3"/>
      <c r="L65" s="3"/>
    </row>
    <row r="66">
      <c r="A66" s="19">
        <v>65.0</v>
      </c>
      <c r="B66" s="18">
        <f>countif(Nectar!D1:D1063,A66)</f>
        <v>3</v>
      </c>
      <c r="C66" s="1">
        <v>4.0</v>
      </c>
      <c r="D66" s="3"/>
      <c r="E66" s="3"/>
      <c r="F66" s="21">
        <v>3.0</v>
      </c>
      <c r="G66" s="22" t="s">
        <v>102</v>
      </c>
      <c r="H66" s="14">
        <v>2.0</v>
      </c>
      <c r="I66" s="1"/>
      <c r="J66" s="1"/>
      <c r="K66" s="3"/>
      <c r="L66" s="3"/>
    </row>
    <row r="67">
      <c r="A67" s="19">
        <v>66.0</v>
      </c>
      <c r="B67" s="18">
        <f>countif(Nectar!D1:D1064,A67)</f>
        <v>3</v>
      </c>
      <c r="C67" s="3"/>
      <c r="D67" s="3"/>
      <c r="E67" s="1"/>
      <c r="F67" s="21">
        <v>3.0</v>
      </c>
      <c r="G67" s="22" t="s">
        <v>93</v>
      </c>
      <c r="H67" s="14">
        <v>2.0</v>
      </c>
      <c r="I67" s="1"/>
      <c r="J67" s="1" t="s">
        <v>158</v>
      </c>
      <c r="K67" s="3"/>
      <c r="L67" s="3"/>
    </row>
    <row r="68">
      <c r="A68" s="19">
        <v>67.0</v>
      </c>
      <c r="B68" s="18">
        <f>countif(Nectar!D1:D1065,A68)</f>
        <v>3</v>
      </c>
      <c r="C68" s="1">
        <v>3.0</v>
      </c>
      <c r="D68" s="3"/>
      <c r="E68" s="3"/>
      <c r="F68" s="21">
        <v>3.0</v>
      </c>
      <c r="G68" s="22" t="s">
        <v>93</v>
      </c>
      <c r="H68" s="14">
        <v>3.0</v>
      </c>
      <c r="I68" s="1"/>
      <c r="J68" s="1" t="s">
        <v>177</v>
      </c>
      <c r="K68" s="3"/>
      <c r="L68" s="3"/>
    </row>
    <row r="69">
      <c r="A69" s="19">
        <v>68.0</v>
      </c>
      <c r="B69" s="18">
        <f>countif(Nectar!D1:D1066,A69)</f>
        <v>4</v>
      </c>
      <c r="C69" s="1">
        <v>7.0</v>
      </c>
      <c r="D69" s="1"/>
      <c r="E69" s="1"/>
      <c r="F69" s="21">
        <v>3.0</v>
      </c>
      <c r="G69" s="22" t="s">
        <v>93</v>
      </c>
      <c r="H69" s="14">
        <v>2.0</v>
      </c>
      <c r="I69" s="3"/>
      <c r="J69" s="3"/>
      <c r="K69" s="3"/>
      <c r="L69" s="3"/>
    </row>
    <row r="70">
      <c r="A70" s="19">
        <v>69.0</v>
      </c>
      <c r="B70" s="18">
        <f>countif(Nectar!D1:D1067,A70)</f>
        <v>3</v>
      </c>
      <c r="C70" s="1">
        <v>4.0</v>
      </c>
      <c r="D70" s="3"/>
      <c r="E70" s="3"/>
      <c r="F70" s="21">
        <v>3.0</v>
      </c>
      <c r="G70" s="22" t="s">
        <v>102</v>
      </c>
      <c r="H70" s="14">
        <v>2.0</v>
      </c>
      <c r="I70" s="3"/>
      <c r="J70" s="3"/>
      <c r="K70" s="3"/>
      <c r="L70" s="3"/>
    </row>
    <row r="71">
      <c r="A71" s="19">
        <v>70.0</v>
      </c>
      <c r="B71" s="18">
        <f>countif(Nectar!D1:D1068,A71)</f>
        <v>5</v>
      </c>
      <c r="C71" s="1">
        <v>6.0</v>
      </c>
      <c r="D71" s="1"/>
      <c r="E71" s="1"/>
      <c r="F71" s="21">
        <v>3.0</v>
      </c>
      <c r="G71" s="22" t="s">
        <v>102</v>
      </c>
      <c r="H71" s="14">
        <v>2.0</v>
      </c>
      <c r="I71" s="3"/>
      <c r="J71" s="3"/>
      <c r="K71" s="3"/>
      <c r="L71" s="3"/>
    </row>
    <row r="72">
      <c r="A72" s="19">
        <v>71.0</v>
      </c>
      <c r="B72" s="18">
        <f>countif(Nectar!D1:D1069,A72)</f>
        <v>3</v>
      </c>
      <c r="C72" s="1">
        <v>4.0</v>
      </c>
      <c r="D72" s="3"/>
      <c r="E72" s="3"/>
      <c r="F72" s="21">
        <v>4.0</v>
      </c>
      <c r="G72" s="22" t="s">
        <v>102</v>
      </c>
      <c r="H72" s="14">
        <v>2.0</v>
      </c>
      <c r="I72" s="3"/>
      <c r="J72" s="3"/>
      <c r="K72" s="3"/>
      <c r="L72" s="3"/>
    </row>
    <row r="73">
      <c r="A73" s="1">
        <v>72.0</v>
      </c>
      <c r="B73" s="18">
        <f>countif(Nectar!D1:D1070,A73)</f>
        <v>4</v>
      </c>
      <c r="C73" s="3"/>
      <c r="D73" s="3"/>
      <c r="E73" s="3"/>
      <c r="F73" s="21">
        <v>3.0</v>
      </c>
      <c r="G73" s="5" t="s">
        <v>93</v>
      </c>
      <c r="H73" s="14">
        <v>0.0</v>
      </c>
      <c r="I73" s="1"/>
      <c r="J73" s="1" t="s">
        <v>164</v>
      </c>
      <c r="K73" s="3"/>
      <c r="L73" s="3"/>
    </row>
    <row r="74">
      <c r="A74" s="19">
        <v>73.0</v>
      </c>
      <c r="B74" s="18">
        <f>countif(Nectar!D1:D1071,A74)</f>
        <v>4</v>
      </c>
      <c r="C74" s="1">
        <v>1.0</v>
      </c>
      <c r="D74" s="1"/>
      <c r="E74" s="1"/>
      <c r="F74" s="21">
        <v>3.0</v>
      </c>
      <c r="G74" s="22" t="s">
        <v>93</v>
      </c>
      <c r="H74" s="14">
        <v>3.0</v>
      </c>
      <c r="I74" s="3"/>
      <c r="J74" s="3"/>
      <c r="K74" s="3"/>
      <c r="L74" s="3"/>
    </row>
    <row r="75">
      <c r="A75" s="19">
        <v>74.0</v>
      </c>
      <c r="B75" s="18">
        <f>countif(Nectar!D1:D1072,A75)</f>
        <v>3</v>
      </c>
      <c r="C75" s="1">
        <v>1.0</v>
      </c>
      <c r="D75" s="3"/>
      <c r="E75" s="3"/>
      <c r="F75" s="21">
        <v>3.0</v>
      </c>
      <c r="G75" s="22" t="s">
        <v>102</v>
      </c>
      <c r="H75" s="14">
        <v>2.0</v>
      </c>
      <c r="I75" s="3"/>
      <c r="J75" s="3"/>
      <c r="K75" s="3"/>
      <c r="L75" s="3"/>
    </row>
    <row r="76">
      <c r="A76" s="19">
        <v>75.0</v>
      </c>
      <c r="B76" s="18">
        <f>countif(Nectar!D1:D1073,A76)</f>
        <v>3</v>
      </c>
      <c r="C76" s="3"/>
      <c r="D76" s="3"/>
      <c r="E76" s="3"/>
      <c r="F76" s="21">
        <v>3.0</v>
      </c>
      <c r="G76" s="22" t="s">
        <v>93</v>
      </c>
      <c r="H76" s="14">
        <v>2.0</v>
      </c>
      <c r="I76" s="1"/>
      <c r="J76" s="1" t="s">
        <v>164</v>
      </c>
      <c r="K76" s="3"/>
      <c r="L76" s="3"/>
    </row>
    <row r="77">
      <c r="A77" s="19">
        <v>76.0</v>
      </c>
      <c r="B77" s="18">
        <f>countif(Nectar!D1:D1074,A77)</f>
        <v>4</v>
      </c>
      <c r="C77" s="1">
        <v>4.0</v>
      </c>
      <c r="D77" s="1"/>
      <c r="E77" s="1"/>
      <c r="F77" s="21">
        <v>3.0</v>
      </c>
      <c r="G77" s="22" t="s">
        <v>93</v>
      </c>
      <c r="H77" s="14">
        <v>2.0</v>
      </c>
      <c r="I77" s="1"/>
      <c r="J77" s="1"/>
      <c r="K77" s="3"/>
      <c r="L77" s="3"/>
    </row>
    <row r="78">
      <c r="A78" s="19">
        <v>77.0</v>
      </c>
      <c r="B78" s="18">
        <f>countif(Nectar!D1:D1075,A78)</f>
        <v>3</v>
      </c>
      <c r="C78" s="1">
        <v>1.0</v>
      </c>
      <c r="D78" s="1"/>
      <c r="E78" s="1"/>
      <c r="F78" s="21">
        <v>3.0</v>
      </c>
      <c r="G78" s="22" t="s">
        <v>93</v>
      </c>
      <c r="H78" s="14">
        <v>2.0</v>
      </c>
      <c r="I78" s="3"/>
      <c r="J78" s="3"/>
      <c r="K78" s="3"/>
      <c r="L78" s="3"/>
    </row>
    <row r="79">
      <c r="A79" s="19">
        <v>78.0</v>
      </c>
      <c r="B79" s="18">
        <f>countif(Nectar!D1:D1076,A79)</f>
        <v>3</v>
      </c>
      <c r="C79" s="1">
        <v>4.0</v>
      </c>
      <c r="D79" s="1" t="s">
        <v>181</v>
      </c>
      <c r="E79" s="1"/>
      <c r="F79" s="21">
        <v>3.0</v>
      </c>
      <c r="G79" s="22" t="s">
        <v>102</v>
      </c>
      <c r="H79" s="14">
        <v>3.0</v>
      </c>
      <c r="I79" s="3"/>
      <c r="J79" s="3"/>
      <c r="K79" s="3"/>
      <c r="L79" s="3"/>
    </row>
    <row r="80">
      <c r="A80" s="19">
        <v>79.0</v>
      </c>
      <c r="B80" s="18">
        <f>countif(Nectar!D1:D1077,A80)</f>
        <v>3</v>
      </c>
      <c r="C80" s="1">
        <v>7.0</v>
      </c>
      <c r="D80" s="3"/>
      <c r="E80" s="3"/>
      <c r="F80" s="21">
        <v>3.0</v>
      </c>
      <c r="G80" s="22" t="s">
        <v>102</v>
      </c>
      <c r="H80" s="14">
        <v>2.0</v>
      </c>
      <c r="I80" s="3"/>
      <c r="J80" s="3"/>
      <c r="K80" s="3"/>
      <c r="L80" s="3"/>
    </row>
    <row r="81">
      <c r="A81" s="19">
        <v>80.0</v>
      </c>
      <c r="B81" s="18">
        <f>countif(Nectar!D1:D1078,A81)</f>
        <v>4</v>
      </c>
      <c r="C81" s="1">
        <v>9.0</v>
      </c>
      <c r="D81" s="1"/>
      <c r="E81" s="1"/>
      <c r="F81" s="21">
        <v>3.0</v>
      </c>
      <c r="G81" s="22" t="s">
        <v>102</v>
      </c>
      <c r="H81" s="14">
        <v>2.0</v>
      </c>
      <c r="I81" s="1"/>
      <c r="J81" s="1"/>
      <c r="K81" s="3"/>
      <c r="L81" s="3"/>
    </row>
    <row r="82">
      <c r="A82" s="19">
        <v>81.0</v>
      </c>
      <c r="B82" s="18">
        <f>countif(Nectar!D1:D1079,A82)</f>
        <v>3</v>
      </c>
      <c r="C82" s="1">
        <v>2.0</v>
      </c>
      <c r="D82" s="3"/>
      <c r="E82" s="3"/>
      <c r="F82" s="21">
        <v>3.0</v>
      </c>
      <c r="G82" s="22" t="s">
        <v>102</v>
      </c>
      <c r="H82" s="14">
        <v>2.0</v>
      </c>
      <c r="I82" s="1"/>
      <c r="J82" s="1"/>
      <c r="K82" s="3"/>
      <c r="L82" s="3"/>
    </row>
    <row r="83">
      <c r="A83" s="19">
        <v>82.0</v>
      </c>
      <c r="B83" s="18">
        <f>countif(Nectar!D1:D1080,A83)</f>
        <v>5</v>
      </c>
      <c r="C83" s="3"/>
      <c r="D83" s="1"/>
      <c r="E83" s="1"/>
      <c r="F83" s="21">
        <v>3.0</v>
      </c>
      <c r="G83" s="22" t="s">
        <v>93</v>
      </c>
      <c r="H83" s="14">
        <v>2.0</v>
      </c>
      <c r="I83" s="1"/>
      <c r="J83" s="1" t="s">
        <v>158</v>
      </c>
      <c r="K83" s="3"/>
      <c r="L83" s="3"/>
    </row>
    <row r="84">
      <c r="A84" s="19">
        <v>83.0</v>
      </c>
      <c r="B84" s="18">
        <f>countif(Nectar!D1:D1081,A84)</f>
        <v>3</v>
      </c>
      <c r="C84" s="1">
        <v>1.0</v>
      </c>
      <c r="D84" s="3"/>
      <c r="E84" s="3"/>
      <c r="F84" s="21">
        <v>3.0</v>
      </c>
      <c r="G84" s="22" t="s">
        <v>93</v>
      </c>
      <c r="H84" s="14">
        <v>2.0</v>
      </c>
      <c r="I84" s="1"/>
      <c r="J84" s="1"/>
      <c r="K84" s="3"/>
      <c r="L84" s="3"/>
    </row>
    <row r="85">
      <c r="A85" s="19">
        <v>84.0</v>
      </c>
      <c r="B85" s="18">
        <f>countif(Nectar!D1:D1082,A85)</f>
        <v>3</v>
      </c>
      <c r="C85" s="1">
        <v>3.0</v>
      </c>
      <c r="D85" s="3"/>
      <c r="E85" s="3"/>
      <c r="F85" s="21">
        <v>3.0</v>
      </c>
      <c r="G85" s="22" t="s">
        <v>102</v>
      </c>
      <c r="H85" s="14">
        <v>2.0</v>
      </c>
      <c r="I85" s="3"/>
      <c r="J85" s="3"/>
      <c r="K85" s="3"/>
      <c r="L85" s="3"/>
    </row>
    <row r="86">
      <c r="A86" s="19">
        <v>85.0</v>
      </c>
      <c r="B86" s="18">
        <f>countif(Nectar!D1:D1083,A86)</f>
        <v>3</v>
      </c>
      <c r="C86" s="1">
        <v>3.0</v>
      </c>
      <c r="D86" s="1"/>
      <c r="E86" s="1"/>
      <c r="F86" s="21">
        <v>3.0</v>
      </c>
      <c r="G86" s="22" t="s">
        <v>102</v>
      </c>
      <c r="H86" s="14">
        <v>2.0</v>
      </c>
      <c r="I86" s="1"/>
      <c r="J86" s="1"/>
      <c r="K86" s="3"/>
      <c r="L86" s="3"/>
    </row>
    <row r="87">
      <c r="A87" s="19">
        <v>86.0</v>
      </c>
      <c r="B87" s="18">
        <f>countif(Nectar!D1:D1084,A87)</f>
        <v>3</v>
      </c>
      <c r="C87" s="1">
        <v>4.0</v>
      </c>
      <c r="D87" s="3"/>
      <c r="E87" s="3"/>
      <c r="F87" s="21">
        <v>3.0</v>
      </c>
      <c r="G87" s="22" t="s">
        <v>102</v>
      </c>
      <c r="H87" s="14">
        <v>2.0</v>
      </c>
      <c r="I87" s="3"/>
      <c r="J87" s="3"/>
      <c r="K87" s="3"/>
      <c r="L87" s="3"/>
    </row>
    <row r="88">
      <c r="A88" s="19">
        <v>87.0</v>
      </c>
      <c r="B88" s="18">
        <f>countif(Nectar!D1:D1085,A88)</f>
        <v>3</v>
      </c>
      <c r="C88" s="1"/>
      <c r="D88" s="1"/>
      <c r="E88" s="1"/>
      <c r="F88" s="21">
        <v>3.0</v>
      </c>
      <c r="G88" s="22" t="s">
        <v>93</v>
      </c>
      <c r="H88" s="14">
        <v>2.0</v>
      </c>
      <c r="I88" s="3"/>
      <c r="J88" s="3"/>
      <c r="K88" s="3"/>
      <c r="L88" s="3"/>
    </row>
    <row r="89">
      <c r="A89" s="19">
        <v>88.0</v>
      </c>
      <c r="B89" s="18">
        <f>countif(Nectar!D1:D1086,A89)</f>
        <v>3</v>
      </c>
      <c r="C89" s="1">
        <v>4.0</v>
      </c>
      <c r="D89" s="3"/>
      <c r="E89" s="3"/>
      <c r="F89" s="21">
        <v>3.0</v>
      </c>
      <c r="G89" s="22" t="s">
        <v>102</v>
      </c>
      <c r="H89" s="14">
        <v>2.0</v>
      </c>
      <c r="I89" s="3"/>
      <c r="J89" s="3"/>
      <c r="K89" s="3"/>
      <c r="L89" s="3"/>
    </row>
    <row r="90">
      <c r="A90" s="19">
        <v>89.0</v>
      </c>
      <c r="B90" s="18">
        <f>countif(Nectar!D1:D1087,A90)</f>
        <v>3</v>
      </c>
      <c r="C90" s="1">
        <v>3.0</v>
      </c>
      <c r="D90" s="3"/>
      <c r="E90" s="3"/>
      <c r="F90" s="21">
        <v>3.0</v>
      </c>
      <c r="G90" s="22" t="s">
        <v>102</v>
      </c>
      <c r="H90" s="14">
        <v>2.0</v>
      </c>
      <c r="I90" s="1"/>
      <c r="J90" s="1"/>
      <c r="K90" s="3"/>
      <c r="L90" s="3"/>
    </row>
    <row r="91">
      <c r="A91" s="19">
        <v>90.0</v>
      </c>
      <c r="B91" s="18">
        <f>countif(Nectar!D1:D1088,A91)</f>
        <v>3</v>
      </c>
      <c r="C91" s="1">
        <v>7.0</v>
      </c>
      <c r="D91" s="3"/>
      <c r="E91" s="3"/>
      <c r="F91" s="21">
        <v>3.0</v>
      </c>
      <c r="G91" s="22" t="s">
        <v>102</v>
      </c>
      <c r="H91" s="14">
        <v>2.0</v>
      </c>
      <c r="I91" s="3"/>
      <c r="J91" s="3"/>
      <c r="K91" s="3"/>
      <c r="L91" s="3"/>
    </row>
    <row r="92">
      <c r="A92" s="19">
        <v>91.0</v>
      </c>
      <c r="B92" s="18">
        <f>countif(Nectar!D1:D1089,A92)</f>
        <v>3</v>
      </c>
      <c r="C92" s="3"/>
      <c r="D92" s="1"/>
      <c r="E92" s="1"/>
      <c r="F92" s="21">
        <v>3.0</v>
      </c>
      <c r="G92" s="22" t="s">
        <v>93</v>
      </c>
      <c r="H92" s="14">
        <v>2.0</v>
      </c>
      <c r="I92" s="3"/>
      <c r="J92" s="3"/>
      <c r="K92" s="3"/>
      <c r="L92" s="3"/>
    </row>
    <row r="93">
      <c r="A93" s="19">
        <v>92.0</v>
      </c>
      <c r="B93" s="18">
        <f>countif(Nectar!D1:D1090,A93)</f>
        <v>4</v>
      </c>
      <c r="C93" s="1">
        <v>15.0</v>
      </c>
      <c r="D93" s="1"/>
      <c r="E93" s="1"/>
      <c r="F93" s="21">
        <v>3.0</v>
      </c>
      <c r="G93" s="22" t="s">
        <v>102</v>
      </c>
      <c r="H93" s="14">
        <v>2.0</v>
      </c>
      <c r="I93" s="3"/>
      <c r="J93" s="3"/>
      <c r="K93" s="3"/>
      <c r="L93" s="3"/>
    </row>
    <row r="94">
      <c r="A94" s="19">
        <v>93.0</v>
      </c>
      <c r="B94" s="18">
        <f>countif(Nectar!D1:D1091,A94)</f>
        <v>3</v>
      </c>
      <c r="C94" s="1">
        <v>4.0</v>
      </c>
      <c r="D94" s="3"/>
      <c r="E94" s="3"/>
      <c r="F94" s="21">
        <v>3.0</v>
      </c>
      <c r="G94" s="22" t="s">
        <v>102</v>
      </c>
      <c r="H94" s="14">
        <v>3.0</v>
      </c>
      <c r="I94" s="1"/>
      <c r="J94" s="1"/>
      <c r="K94" s="3"/>
      <c r="L94" s="3"/>
    </row>
    <row r="95">
      <c r="A95" s="19">
        <v>94.0</v>
      </c>
      <c r="B95" s="18">
        <f>countif(Nectar!D1:D1092,A95)</f>
        <v>3</v>
      </c>
      <c r="C95" s="1">
        <v>4.0</v>
      </c>
      <c r="D95" s="3"/>
      <c r="E95" s="3"/>
      <c r="F95" s="21">
        <v>3.0</v>
      </c>
      <c r="G95" s="22" t="s">
        <v>102</v>
      </c>
      <c r="H95" s="14">
        <v>3.0</v>
      </c>
      <c r="I95" s="3"/>
      <c r="J95" s="3"/>
      <c r="K95" s="3"/>
      <c r="L95" s="3"/>
    </row>
    <row r="96">
      <c r="A96" s="19">
        <v>95.0</v>
      </c>
      <c r="B96" s="18">
        <f>countif(Nectar!D1:D1093,A96)</f>
        <v>3</v>
      </c>
      <c r="C96" s="1">
        <v>1.0</v>
      </c>
      <c r="D96" s="3"/>
      <c r="E96" s="3"/>
      <c r="F96" s="21">
        <v>3.0</v>
      </c>
      <c r="G96" s="22" t="s">
        <v>93</v>
      </c>
      <c r="H96" s="14">
        <v>2.0</v>
      </c>
      <c r="I96" s="3"/>
      <c r="J96" s="3"/>
      <c r="K96" s="3"/>
      <c r="L96" s="3"/>
    </row>
    <row r="97">
      <c r="A97" s="1">
        <v>96.0</v>
      </c>
      <c r="B97" s="18">
        <f>countif(Nectar!D1:D1094,A97)</f>
        <v>0</v>
      </c>
      <c r="C97" s="3"/>
      <c r="D97" s="3"/>
      <c r="E97" s="3"/>
      <c r="F97" s="14">
        <v>0.0</v>
      </c>
      <c r="G97" s="5" t="s">
        <v>93</v>
      </c>
      <c r="H97" s="14">
        <v>0.0</v>
      </c>
      <c r="I97" s="3"/>
      <c r="J97" s="3"/>
      <c r="K97" s="3"/>
      <c r="L97" s="3"/>
    </row>
    <row r="98">
      <c r="A98" s="19">
        <v>97.0</v>
      </c>
      <c r="B98" s="18">
        <f>countif(Nectar!D1:D1095,A98)</f>
        <v>3</v>
      </c>
      <c r="C98" s="1">
        <v>14.0</v>
      </c>
      <c r="D98" s="3"/>
      <c r="E98" s="3"/>
      <c r="F98" s="21">
        <v>3.0</v>
      </c>
      <c r="G98" s="22" t="s">
        <v>102</v>
      </c>
      <c r="H98" s="14">
        <v>2.0</v>
      </c>
      <c r="I98" s="3"/>
      <c r="J98" s="3"/>
      <c r="K98" s="3"/>
      <c r="L98" s="3"/>
    </row>
    <row r="99">
      <c r="A99" s="19">
        <v>98.0</v>
      </c>
      <c r="B99" s="18">
        <f>countif(Nectar!D1:D1096,A99)</f>
        <v>3</v>
      </c>
      <c r="C99" s="3"/>
      <c r="D99" s="3"/>
      <c r="E99" s="1"/>
      <c r="F99" s="21">
        <v>3.0</v>
      </c>
      <c r="G99" s="22" t="s">
        <v>93</v>
      </c>
      <c r="H99" s="14">
        <v>3.0</v>
      </c>
      <c r="I99" s="1"/>
      <c r="J99" s="1"/>
      <c r="K99" s="3"/>
      <c r="L99" s="3"/>
    </row>
    <row r="100">
      <c r="A100" s="19">
        <v>99.0</v>
      </c>
      <c r="B100" s="18">
        <f>countif(Nectar!D1:D1097,A100)</f>
        <v>5</v>
      </c>
      <c r="C100" s="28"/>
      <c r="D100" s="1"/>
      <c r="E100" s="1"/>
      <c r="F100" s="21">
        <v>3.0</v>
      </c>
      <c r="G100" s="22" t="s">
        <v>93</v>
      </c>
      <c r="H100" s="14">
        <v>2.0</v>
      </c>
      <c r="I100" s="3"/>
      <c r="J100" s="3"/>
      <c r="K100" s="3"/>
      <c r="L100" s="3"/>
    </row>
    <row r="101">
      <c r="A101" s="19">
        <v>100.0</v>
      </c>
      <c r="B101" s="18">
        <f>countif(Nectar!D1:D1098,A101)</f>
        <v>3</v>
      </c>
      <c r="C101" s="1">
        <v>1.0</v>
      </c>
      <c r="D101" s="1" t="s">
        <v>187</v>
      </c>
      <c r="E101" s="1"/>
      <c r="F101" s="21">
        <v>3.0</v>
      </c>
      <c r="G101" s="22" t="s">
        <v>102</v>
      </c>
      <c r="H101" s="14">
        <v>2.0</v>
      </c>
      <c r="I101" s="3"/>
      <c r="J101" s="3"/>
      <c r="K101" s="3"/>
      <c r="L101" s="3"/>
    </row>
    <row r="102">
      <c r="A102" s="19">
        <v>101.0</v>
      </c>
      <c r="B102" s="18">
        <f>countif(Nectar!D1:D1099,A102)</f>
        <v>3</v>
      </c>
      <c r="C102" s="1">
        <v>2.0</v>
      </c>
      <c r="D102" s="3"/>
      <c r="E102" s="3"/>
      <c r="F102" s="21">
        <v>3.0</v>
      </c>
      <c r="G102" s="22" t="s">
        <v>102</v>
      </c>
      <c r="H102" s="14">
        <v>2.0</v>
      </c>
      <c r="I102" s="3"/>
      <c r="J102" s="3"/>
      <c r="K102" s="3"/>
      <c r="L102" s="3"/>
    </row>
    <row r="103">
      <c r="A103" s="19">
        <v>102.0</v>
      </c>
      <c r="B103" s="18">
        <f>countif(Nectar!D1:D1100,A103)</f>
        <v>3</v>
      </c>
      <c r="C103" s="1">
        <v>9.0</v>
      </c>
      <c r="D103" s="3"/>
      <c r="E103" s="3"/>
      <c r="F103" s="21">
        <v>3.0</v>
      </c>
      <c r="G103" s="22" t="s">
        <v>93</v>
      </c>
      <c r="H103" s="14">
        <v>2.0</v>
      </c>
      <c r="I103" s="1"/>
      <c r="J103" s="1"/>
      <c r="K103" s="3"/>
      <c r="L103" s="3"/>
    </row>
    <row r="104">
      <c r="A104" s="19">
        <v>103.0</v>
      </c>
      <c r="B104" s="18">
        <f>countif(Nectar!D1:D1101,A104)</f>
        <v>3</v>
      </c>
      <c r="C104" s="1">
        <v>12.0</v>
      </c>
      <c r="D104" s="3"/>
      <c r="E104" s="3"/>
      <c r="F104" s="21">
        <v>3.0</v>
      </c>
      <c r="G104" s="22" t="s">
        <v>102</v>
      </c>
      <c r="H104" s="14">
        <v>2.0</v>
      </c>
      <c r="I104" s="3"/>
      <c r="J104" s="3"/>
      <c r="K104" s="3"/>
      <c r="L104" s="3"/>
    </row>
    <row r="105">
      <c r="A105" s="19">
        <v>104.0</v>
      </c>
      <c r="B105" s="18">
        <f>countif(Nectar!D1:D1102,A105)</f>
        <v>4</v>
      </c>
      <c r="C105" s="3"/>
      <c r="D105" s="1"/>
      <c r="E105" s="1"/>
      <c r="F105" s="21">
        <v>3.0</v>
      </c>
      <c r="G105" s="22" t="s">
        <v>93</v>
      </c>
      <c r="H105" s="14">
        <v>2.0</v>
      </c>
      <c r="I105" s="6"/>
      <c r="J105" s="6"/>
      <c r="K105" s="3"/>
      <c r="L105" s="3"/>
    </row>
    <row r="106">
      <c r="A106" s="19">
        <v>105.0</v>
      </c>
      <c r="B106" s="18">
        <f>countif(Nectar!D1:D1103,A106)</f>
        <v>4</v>
      </c>
      <c r="C106" s="1">
        <v>2.0</v>
      </c>
      <c r="D106" s="1"/>
      <c r="E106" s="1"/>
      <c r="F106" s="21">
        <v>3.0</v>
      </c>
      <c r="G106" s="22" t="s">
        <v>93</v>
      </c>
      <c r="H106" s="14">
        <v>2.0</v>
      </c>
      <c r="I106" s="3"/>
      <c r="J106" s="3"/>
      <c r="K106" s="3"/>
      <c r="L106" s="3"/>
    </row>
    <row r="107">
      <c r="A107" s="30">
        <v>106.0</v>
      </c>
      <c r="B107" s="18">
        <f>countif(Nectar!D1:D1104,A107)</f>
        <v>4</v>
      </c>
      <c r="C107" s="1">
        <v>14.0</v>
      </c>
      <c r="D107" s="1"/>
      <c r="E107" s="1"/>
      <c r="F107" s="21">
        <v>4.0</v>
      </c>
      <c r="G107" s="22" t="s">
        <v>102</v>
      </c>
      <c r="H107" s="14">
        <v>2.0</v>
      </c>
      <c r="I107" s="3"/>
      <c r="J107" s="3"/>
      <c r="K107" s="3"/>
      <c r="L107" s="3"/>
    </row>
    <row r="108">
      <c r="A108" s="19">
        <v>107.0</v>
      </c>
      <c r="B108" s="18">
        <f>countif(Nectar!D1:D1105,A108)</f>
        <v>3</v>
      </c>
      <c r="C108" s="1">
        <v>12.0</v>
      </c>
      <c r="D108" s="3"/>
      <c r="E108" s="3"/>
      <c r="F108" s="21">
        <v>4.0</v>
      </c>
      <c r="G108" s="22" t="s">
        <v>102</v>
      </c>
      <c r="H108" s="14">
        <v>2.0</v>
      </c>
      <c r="I108" s="3"/>
      <c r="J108" s="3"/>
      <c r="K108" s="3"/>
      <c r="L108" s="3"/>
    </row>
    <row r="109">
      <c r="A109" s="19">
        <v>108.0</v>
      </c>
      <c r="B109" s="18">
        <f>countif(Nectar!D1:D1106,A109)</f>
        <v>3</v>
      </c>
      <c r="C109" s="1"/>
      <c r="D109" s="3"/>
      <c r="E109" s="3"/>
      <c r="F109" s="21">
        <v>3.0</v>
      </c>
      <c r="G109" s="22" t="s">
        <v>93</v>
      </c>
      <c r="H109" s="14">
        <v>2.0</v>
      </c>
      <c r="I109" s="3"/>
      <c r="J109" s="3"/>
      <c r="K109" s="3"/>
      <c r="L109" s="3"/>
    </row>
    <row r="110">
      <c r="A110" s="19">
        <v>109.0</v>
      </c>
      <c r="B110" s="18">
        <f>countif(Nectar!D1:D1107,A110)</f>
        <v>3</v>
      </c>
      <c r="C110" s="3"/>
      <c r="D110" s="3"/>
      <c r="E110" s="3"/>
      <c r="F110" s="21">
        <v>3.0</v>
      </c>
      <c r="G110" s="22" t="s">
        <v>93</v>
      </c>
      <c r="H110" s="14">
        <v>2.0</v>
      </c>
      <c r="I110" s="3"/>
      <c r="J110" s="3"/>
      <c r="K110" s="3"/>
      <c r="L110" s="3"/>
    </row>
    <row r="111">
      <c r="A111" s="19">
        <v>110.0</v>
      </c>
      <c r="B111" s="18">
        <f>countif(Nectar!D1:D1108,A111)</f>
        <v>3</v>
      </c>
      <c r="C111" s="1">
        <v>15.0</v>
      </c>
      <c r="D111" s="3"/>
      <c r="E111" s="3"/>
      <c r="F111" s="21">
        <v>4.0</v>
      </c>
      <c r="G111" s="22" t="s">
        <v>102</v>
      </c>
      <c r="H111" s="14">
        <v>2.0</v>
      </c>
      <c r="I111" s="3"/>
      <c r="J111" s="3"/>
      <c r="K111" s="3"/>
      <c r="L111" s="3"/>
    </row>
    <row r="112">
      <c r="A112" s="1">
        <v>111.0</v>
      </c>
      <c r="B112" s="18">
        <f>countif(Nectar!D1:D1109,A112)</f>
        <v>0</v>
      </c>
      <c r="C112" s="3"/>
      <c r="D112" s="3"/>
      <c r="E112" s="3"/>
      <c r="F112" s="14">
        <v>0.0</v>
      </c>
      <c r="G112" s="5" t="s">
        <v>93</v>
      </c>
      <c r="H112" s="14">
        <v>0.0</v>
      </c>
      <c r="I112" s="1"/>
      <c r="J112" s="1" t="s">
        <v>190</v>
      </c>
      <c r="K112" s="3"/>
      <c r="L112" s="3"/>
    </row>
    <row r="113">
      <c r="A113" s="19">
        <v>112.0</v>
      </c>
      <c r="B113" s="18">
        <f>countif(Nectar!D1:D1110,A113)</f>
        <v>4</v>
      </c>
      <c r="C113" s="1">
        <v>1.0</v>
      </c>
      <c r="D113" s="1"/>
      <c r="E113" s="1"/>
      <c r="F113" s="21">
        <v>3.0</v>
      </c>
      <c r="G113" s="22" t="s">
        <v>93</v>
      </c>
      <c r="H113" s="14">
        <v>2.0</v>
      </c>
      <c r="I113" s="1"/>
      <c r="J113" s="1"/>
      <c r="K113" s="3"/>
      <c r="L113" s="3"/>
    </row>
    <row r="114">
      <c r="A114" s="19">
        <v>113.0</v>
      </c>
      <c r="B114" s="18">
        <f>countif(Nectar!D1:D1111,A114)</f>
        <v>3</v>
      </c>
      <c r="C114" s="1">
        <v>19.0</v>
      </c>
      <c r="D114" s="3"/>
      <c r="E114" s="3"/>
      <c r="F114" s="21">
        <v>3.0</v>
      </c>
      <c r="G114" s="22" t="s">
        <v>102</v>
      </c>
      <c r="H114" s="14">
        <v>2.0</v>
      </c>
      <c r="I114" s="3"/>
      <c r="J114" s="3"/>
      <c r="K114" s="3"/>
      <c r="L114" s="3"/>
    </row>
    <row r="115">
      <c r="A115" s="19">
        <v>114.0</v>
      </c>
      <c r="B115" s="18">
        <f>countif(Nectar!D1:D1112,A115)</f>
        <v>3</v>
      </c>
      <c r="C115" s="3"/>
      <c r="D115" s="3"/>
      <c r="E115" s="1"/>
      <c r="F115" s="21">
        <v>3.0</v>
      </c>
      <c r="G115" s="22" t="s">
        <v>93</v>
      </c>
      <c r="H115" s="14">
        <v>2.0</v>
      </c>
      <c r="I115" s="1"/>
      <c r="J115" s="1"/>
      <c r="K115" s="3"/>
      <c r="L115" s="3"/>
    </row>
    <row r="116">
      <c r="A116" s="19">
        <v>115.0</v>
      </c>
      <c r="B116" s="18">
        <f>countif(Nectar!D1:D1113,A116)</f>
        <v>3</v>
      </c>
      <c r="C116" s="1">
        <v>17.0</v>
      </c>
      <c r="D116" s="3"/>
      <c r="E116" s="31"/>
      <c r="F116" s="21">
        <v>3.0</v>
      </c>
      <c r="G116" s="22" t="s">
        <v>102</v>
      </c>
      <c r="H116" s="14">
        <v>2.0</v>
      </c>
      <c r="I116" s="1"/>
      <c r="J116" s="1"/>
      <c r="K116" s="3"/>
      <c r="L116" s="3"/>
    </row>
    <row r="117">
      <c r="A117" s="19">
        <v>116.0</v>
      </c>
      <c r="B117" s="18">
        <f>countif(Nectar!D1:D1114,A117)</f>
        <v>3</v>
      </c>
      <c r="C117" s="1">
        <v>3.0</v>
      </c>
      <c r="D117" s="3"/>
      <c r="E117" s="3"/>
      <c r="F117" s="21">
        <v>4.0</v>
      </c>
      <c r="G117" s="22" t="s">
        <v>93</v>
      </c>
      <c r="H117" s="14">
        <v>2.0</v>
      </c>
      <c r="I117" s="3"/>
      <c r="J117" s="3"/>
      <c r="K117" s="3"/>
      <c r="L117" s="3"/>
    </row>
    <row r="118">
      <c r="A118" s="19">
        <v>117.0</v>
      </c>
      <c r="B118" s="18">
        <f>countif(Nectar!D1:D1115,A118)</f>
        <v>3</v>
      </c>
      <c r="C118" s="1">
        <v>14.0</v>
      </c>
      <c r="D118" s="3"/>
      <c r="E118" s="3"/>
      <c r="F118" s="21">
        <v>3.0</v>
      </c>
      <c r="G118" s="22" t="s">
        <v>102</v>
      </c>
      <c r="H118" s="14">
        <v>2.0</v>
      </c>
      <c r="I118" s="3"/>
      <c r="J118" s="3"/>
      <c r="K118" s="3"/>
      <c r="L118" s="3"/>
    </row>
    <row r="119">
      <c r="A119" s="1">
        <v>118.0</v>
      </c>
      <c r="B119" s="18">
        <f>countif(Nectar!D1:D1116,A119)</f>
        <v>0</v>
      </c>
      <c r="C119" s="3"/>
      <c r="D119" s="3"/>
      <c r="E119" s="3"/>
      <c r="F119" s="14">
        <v>0.0</v>
      </c>
      <c r="G119" s="5" t="s">
        <v>93</v>
      </c>
      <c r="H119" s="14">
        <v>0.0</v>
      </c>
      <c r="I119" s="3"/>
      <c r="J119" s="3"/>
      <c r="K119" s="3"/>
      <c r="L119" s="3"/>
    </row>
    <row r="120">
      <c r="A120" s="19" t="s">
        <v>49</v>
      </c>
      <c r="B120" s="18">
        <f>countif(Nectar!D2:D1117,A120)</f>
        <v>3</v>
      </c>
      <c r="C120" s="3"/>
      <c r="D120" s="3"/>
      <c r="E120" s="1"/>
      <c r="F120" s="32">
        <v>3.0</v>
      </c>
      <c r="G120" s="22" t="s">
        <v>93</v>
      </c>
      <c r="H120" s="4">
        <v>2.0</v>
      </c>
      <c r="I120" s="1"/>
      <c r="J120" s="1"/>
      <c r="K120" s="3"/>
      <c r="L120" s="3"/>
    </row>
    <row r="121">
      <c r="A121" s="1" t="s">
        <v>202</v>
      </c>
      <c r="B121" s="18">
        <f>countif(Nectar!D3:D1118,A121)</f>
        <v>0</v>
      </c>
      <c r="C121" s="3"/>
      <c r="D121" s="3"/>
      <c r="E121" s="3"/>
      <c r="F121" s="4">
        <v>0.0</v>
      </c>
      <c r="G121" s="5" t="s">
        <v>93</v>
      </c>
      <c r="H121" s="4">
        <v>0.0</v>
      </c>
      <c r="I121" s="1"/>
      <c r="J121" s="1" t="s">
        <v>158</v>
      </c>
      <c r="K121" s="3"/>
      <c r="L121" s="3"/>
    </row>
    <row r="122">
      <c r="A122" s="1" t="s">
        <v>204</v>
      </c>
      <c r="B122" s="18">
        <f>countif(Nectar!D4:D1119,A122)</f>
        <v>2</v>
      </c>
      <c r="C122" s="3"/>
      <c r="D122" s="3"/>
      <c r="E122" s="3"/>
      <c r="F122" s="4">
        <v>0.0</v>
      </c>
      <c r="G122" s="5" t="s">
        <v>93</v>
      </c>
      <c r="H122" s="4">
        <v>0.0</v>
      </c>
      <c r="I122" s="1"/>
      <c r="J122" s="1" t="s">
        <v>158</v>
      </c>
      <c r="K122" s="3"/>
      <c r="L122" s="3"/>
    </row>
    <row r="123">
      <c r="A123" s="1" t="s">
        <v>205</v>
      </c>
      <c r="B123" s="18">
        <f>countif(Nectar!D5:D1120,A123)</f>
        <v>3</v>
      </c>
      <c r="C123" s="3"/>
      <c r="D123" s="3"/>
      <c r="E123" s="3"/>
      <c r="F123" s="4">
        <v>0.0</v>
      </c>
      <c r="G123" s="5" t="s">
        <v>93</v>
      </c>
      <c r="H123" s="4">
        <v>0.0</v>
      </c>
      <c r="I123" s="1"/>
      <c r="J123" s="1" t="s">
        <v>158</v>
      </c>
      <c r="K123" s="3"/>
      <c r="L123" s="3"/>
    </row>
    <row r="124">
      <c r="A124" s="19" t="s">
        <v>206</v>
      </c>
      <c r="B124" s="18">
        <f>countif(Nectar!D6:D1121,A124)</f>
        <v>3</v>
      </c>
      <c r="C124" s="3"/>
      <c r="D124" s="3"/>
      <c r="E124" s="3"/>
      <c r="F124" s="4">
        <v>0.0</v>
      </c>
      <c r="G124" s="5" t="s">
        <v>93</v>
      </c>
      <c r="H124" s="4">
        <v>0.0</v>
      </c>
      <c r="I124" s="1"/>
      <c r="J124" s="1" t="s">
        <v>158</v>
      </c>
      <c r="K124" s="3"/>
      <c r="L124" s="3"/>
    </row>
    <row r="125">
      <c r="A125" s="19">
        <v>119.0</v>
      </c>
      <c r="B125" s="18">
        <f>countif(Nectar!D3:D1118,A125)</f>
        <v>5</v>
      </c>
      <c r="C125" s="3"/>
      <c r="D125" s="3"/>
      <c r="E125" s="3"/>
      <c r="F125" s="32">
        <f>countif(Fl_Leu_Au!B2:B301,A125)</f>
        <v>3</v>
      </c>
      <c r="G125" s="22" t="s">
        <v>209</v>
      </c>
      <c r="H125" s="4">
        <v>2.0</v>
      </c>
      <c r="I125" s="3"/>
      <c r="J125" s="3"/>
      <c r="K125" s="3"/>
      <c r="L125" s="3"/>
    </row>
    <row r="126">
      <c r="A126" s="19">
        <v>120.0</v>
      </c>
      <c r="B126" s="18">
        <f>countif(Nectar!D4:D1119,A126)</f>
        <v>4</v>
      </c>
      <c r="C126" s="3"/>
      <c r="D126" s="3"/>
      <c r="E126" s="3"/>
      <c r="F126" s="32">
        <f>countif(Fl_Leu_Au!B2:B302,A126)</f>
        <v>3</v>
      </c>
      <c r="G126" s="22" t="s">
        <v>209</v>
      </c>
      <c r="H126" s="4">
        <v>2.0</v>
      </c>
      <c r="I126" s="3"/>
      <c r="J126" s="3"/>
      <c r="K126" s="3"/>
      <c r="L126" s="3"/>
    </row>
    <row r="127">
      <c r="A127" s="19">
        <v>121.0</v>
      </c>
      <c r="B127" s="18">
        <f>countif(Nectar!D5:D1120,A127)</f>
        <v>4</v>
      </c>
      <c r="C127" s="3"/>
      <c r="D127" s="3"/>
      <c r="E127" s="3"/>
      <c r="F127" s="32">
        <f>countif(Fl_Leu_Au!B2:B303,A127)</f>
        <v>3</v>
      </c>
      <c r="G127" s="22" t="s">
        <v>211</v>
      </c>
      <c r="H127" s="4">
        <v>2.0</v>
      </c>
      <c r="I127" s="3"/>
      <c r="J127" s="3"/>
      <c r="K127" s="3"/>
      <c r="L127" s="3"/>
    </row>
    <row r="128">
      <c r="A128" s="19">
        <v>122.0</v>
      </c>
      <c r="B128" s="18">
        <f>countif(Nectar!D6:D1121,A128)</f>
        <v>3</v>
      </c>
      <c r="C128" s="3"/>
      <c r="D128" s="3"/>
      <c r="E128" s="3"/>
      <c r="F128" s="32">
        <f>countif(Fl_Leu_Au!B2:B304,A128)</f>
        <v>3</v>
      </c>
      <c r="G128" s="22" t="s">
        <v>211</v>
      </c>
      <c r="H128" s="4">
        <v>2.0</v>
      </c>
      <c r="I128" s="3"/>
      <c r="J128" s="3"/>
      <c r="K128" s="3"/>
      <c r="L128" s="3"/>
    </row>
    <row r="129">
      <c r="A129" s="19">
        <v>125.0</v>
      </c>
      <c r="B129" s="18">
        <f>countif(Nectar!D7:D1122,A129)</f>
        <v>5</v>
      </c>
      <c r="C129" s="3"/>
      <c r="D129" s="3"/>
      <c r="E129" s="3"/>
      <c r="F129" s="32">
        <f>countif(Fl_Leu_Au!B2:B305,A129)</f>
        <v>3</v>
      </c>
      <c r="G129" s="22" t="s">
        <v>209</v>
      </c>
      <c r="H129" s="4">
        <v>2.0</v>
      </c>
      <c r="I129" s="3"/>
      <c r="J129" s="3"/>
      <c r="K129" s="3"/>
      <c r="L129" s="3"/>
    </row>
    <row r="130">
      <c r="A130" s="19">
        <v>126.0</v>
      </c>
      <c r="B130" s="18">
        <f>countif(Nectar!D8:D1123,A130)</f>
        <v>4</v>
      </c>
      <c r="C130" s="3"/>
      <c r="D130" s="3"/>
      <c r="E130" s="3"/>
      <c r="F130" s="32">
        <f>countif(Fl_Leu_Au!B2:B306,A130)</f>
        <v>3</v>
      </c>
      <c r="G130" s="22" t="s">
        <v>209</v>
      </c>
      <c r="H130" s="4">
        <v>2.0</v>
      </c>
      <c r="I130" s="3"/>
      <c r="J130" s="3"/>
      <c r="K130" s="3"/>
      <c r="L130" s="3"/>
    </row>
    <row r="131">
      <c r="A131" s="19">
        <v>127.0</v>
      </c>
      <c r="B131" s="18">
        <f>countif(Nectar!D9:D1124,A131)</f>
        <v>4</v>
      </c>
      <c r="C131" s="3"/>
      <c r="D131" s="3"/>
      <c r="E131" s="3"/>
      <c r="F131" s="32">
        <f>countif(Fl_Leu_Au!B2:B307,A131)</f>
        <v>3</v>
      </c>
      <c r="G131" s="22" t="s">
        <v>209</v>
      </c>
      <c r="H131" s="4">
        <v>2.0</v>
      </c>
      <c r="I131" s="3"/>
      <c r="J131" s="3"/>
      <c r="K131" s="3"/>
      <c r="L131" s="3"/>
    </row>
    <row r="132">
      <c r="A132" s="19">
        <v>128.0</v>
      </c>
      <c r="B132" s="18">
        <f>countif(Nectar!D10:D1125,A132)</f>
        <v>4</v>
      </c>
      <c r="C132" s="3"/>
      <c r="D132" s="3"/>
      <c r="E132" s="3"/>
      <c r="F132" s="32">
        <f>countif(Fl_Leu_Au!B2:B308,A132)</f>
        <v>3</v>
      </c>
      <c r="G132" s="22" t="s">
        <v>209</v>
      </c>
      <c r="H132" s="4">
        <v>2.0</v>
      </c>
      <c r="I132" s="3"/>
      <c r="J132" s="3"/>
      <c r="K132" s="3"/>
      <c r="L132" s="3"/>
    </row>
    <row r="133">
      <c r="A133" s="19">
        <v>129.0</v>
      </c>
      <c r="B133" s="18">
        <f>countif(Nectar!D11:D1126,A133)</f>
        <v>4</v>
      </c>
      <c r="C133" s="3"/>
      <c r="D133" s="3"/>
      <c r="E133" s="3"/>
      <c r="F133" s="32">
        <f>countif(Fl_Leu_Au!B2:B309,A133)</f>
        <v>3</v>
      </c>
      <c r="G133" s="22" t="s">
        <v>209</v>
      </c>
      <c r="H133" s="4">
        <v>2.0</v>
      </c>
      <c r="I133" s="3"/>
      <c r="J133" s="3"/>
      <c r="K133" s="3"/>
      <c r="L133" s="3"/>
    </row>
    <row r="134">
      <c r="A134" s="19">
        <v>130.0</v>
      </c>
      <c r="B134" s="18">
        <f>countif(Nectar!D12:D1127,A134)</f>
        <v>3</v>
      </c>
      <c r="C134" s="3"/>
      <c r="D134" s="3"/>
      <c r="E134" s="3"/>
      <c r="F134" s="32">
        <f>countif(Fl_Leu_Au!B2:B310,A134)</f>
        <v>3</v>
      </c>
      <c r="G134" s="22" t="s">
        <v>209</v>
      </c>
      <c r="H134" s="4">
        <v>2.0</v>
      </c>
      <c r="I134" s="3"/>
      <c r="J134" s="3"/>
      <c r="K134" s="3"/>
      <c r="L134" s="3"/>
    </row>
    <row r="135">
      <c r="A135" s="19">
        <v>131.0</v>
      </c>
      <c r="B135" s="18">
        <f>countif(Nectar!D13:D1128,A135)</f>
        <v>4</v>
      </c>
      <c r="C135" s="3"/>
      <c r="D135" s="3"/>
      <c r="E135" s="3"/>
      <c r="F135" s="32">
        <f>countif(Fl_Leu_Au!B2:B311,A135)</f>
        <v>3</v>
      </c>
      <c r="G135" s="22" t="s">
        <v>209</v>
      </c>
      <c r="H135" s="4">
        <v>2.0</v>
      </c>
      <c r="I135" s="3"/>
      <c r="J135" s="3"/>
      <c r="K135" s="3"/>
      <c r="L135" s="3"/>
    </row>
    <row r="136">
      <c r="A136" s="19">
        <v>132.0</v>
      </c>
      <c r="B136" s="18">
        <f>countif(Nectar!D14:D1129,A136)</f>
        <v>4</v>
      </c>
      <c r="C136" s="3"/>
      <c r="D136" s="3"/>
      <c r="E136" s="3"/>
      <c r="F136" s="32">
        <f>countif(Fl_Leu_Au!B2:B312,A136)</f>
        <v>3</v>
      </c>
      <c r="G136" s="22" t="s">
        <v>209</v>
      </c>
      <c r="H136" s="4">
        <v>2.0</v>
      </c>
      <c r="I136" s="3"/>
      <c r="J136" s="3"/>
      <c r="K136" s="3"/>
      <c r="L136" s="3"/>
    </row>
    <row r="137">
      <c r="A137" s="19">
        <v>133.0</v>
      </c>
      <c r="B137" s="18">
        <f>countif(Nectar!D15:D1130,A137)</f>
        <v>3</v>
      </c>
      <c r="C137" s="3"/>
      <c r="D137" s="3"/>
      <c r="E137" s="3"/>
      <c r="F137" s="32">
        <f>countif(Fl_Leu_Au!B2:B313,A137)</f>
        <v>3</v>
      </c>
      <c r="G137" s="22" t="s">
        <v>211</v>
      </c>
      <c r="H137" s="4">
        <v>2.0</v>
      </c>
      <c r="I137" s="3"/>
      <c r="J137" s="3"/>
      <c r="K137" s="3"/>
      <c r="L137" s="3"/>
    </row>
    <row r="138">
      <c r="A138" s="19">
        <v>135.0</v>
      </c>
      <c r="B138" s="18">
        <f>countif(Nectar!D16:D1131,A138)</f>
        <v>3</v>
      </c>
      <c r="C138" s="3"/>
      <c r="D138" s="3"/>
      <c r="E138" s="3"/>
      <c r="F138" s="32">
        <f>countif(Fl_Leu_Au!B2:B314,A138)</f>
        <v>3</v>
      </c>
      <c r="G138" s="22" t="s">
        <v>211</v>
      </c>
      <c r="H138" s="4">
        <v>2.0</v>
      </c>
      <c r="I138" s="3"/>
      <c r="J138" s="3"/>
      <c r="K138" s="3"/>
      <c r="L138" s="3"/>
    </row>
    <row r="139">
      <c r="A139" s="19">
        <v>136.0</v>
      </c>
      <c r="B139" s="18">
        <f>countif(Nectar!D17:D1132,A139)</f>
        <v>4</v>
      </c>
      <c r="C139" s="3"/>
      <c r="D139" s="3"/>
      <c r="E139" s="3"/>
      <c r="F139" s="32">
        <f>countif(Fl_Leu_Au!B2:B315,A139)</f>
        <v>3</v>
      </c>
      <c r="G139" s="22" t="s">
        <v>211</v>
      </c>
      <c r="H139" s="4">
        <v>2.0</v>
      </c>
      <c r="I139" s="3"/>
      <c r="J139" s="3"/>
      <c r="K139" s="3"/>
      <c r="L139" s="3"/>
    </row>
    <row r="140">
      <c r="A140" s="19">
        <v>137.0</v>
      </c>
      <c r="B140" s="18">
        <f>countif(Nectar!D18:D1133,A140)</f>
        <v>5</v>
      </c>
      <c r="C140" s="3"/>
      <c r="D140" s="3"/>
      <c r="E140" s="3"/>
      <c r="F140" s="32">
        <f>countif(Fl_Leu_Au!B2:B316,A140)</f>
        <v>3</v>
      </c>
      <c r="G140" s="22" t="s">
        <v>211</v>
      </c>
      <c r="H140" s="4">
        <v>2.0</v>
      </c>
      <c r="I140" s="3"/>
      <c r="J140" s="3"/>
      <c r="K140" s="3"/>
      <c r="L140" s="3"/>
    </row>
    <row r="141">
      <c r="A141" s="1">
        <v>138.0</v>
      </c>
      <c r="B141" s="18">
        <f>countif(Nectar!D19:D1134,A141)</f>
        <v>0</v>
      </c>
      <c r="C141" s="3"/>
      <c r="D141" s="3"/>
      <c r="E141" s="3"/>
      <c r="F141" s="4">
        <f>countif(Fl_Leu_Au!B2:B317,A141)</f>
        <v>0</v>
      </c>
      <c r="G141" s="5" t="s">
        <v>211</v>
      </c>
      <c r="H141" s="4">
        <v>0.0</v>
      </c>
      <c r="I141" s="3"/>
      <c r="J141" s="3"/>
      <c r="K141" s="3"/>
      <c r="L141" s="3"/>
    </row>
    <row r="142">
      <c r="A142" s="1">
        <v>139.0</v>
      </c>
      <c r="B142" s="18">
        <f>countif(Nectar!D20:D1135,A142)</f>
        <v>0</v>
      </c>
      <c r="C142" s="3"/>
      <c r="D142" s="3"/>
      <c r="E142" s="3"/>
      <c r="F142" s="4">
        <f>countif(Fl_Leu_Au!B2:B318,A142)</f>
        <v>0</v>
      </c>
      <c r="G142" s="5" t="s">
        <v>211</v>
      </c>
      <c r="H142" s="4">
        <v>0.0</v>
      </c>
      <c r="I142" s="3"/>
      <c r="J142" s="3"/>
      <c r="K142" s="3"/>
      <c r="L142" s="3"/>
    </row>
    <row r="143">
      <c r="A143" s="19">
        <v>141.0</v>
      </c>
      <c r="B143" s="18">
        <f>countif(Nectar!D21:D1136,A143)</f>
        <v>7</v>
      </c>
      <c r="C143" s="3"/>
      <c r="D143" s="3"/>
      <c r="E143" s="3"/>
      <c r="F143" s="32">
        <f>countif(Fl_Leu_Au!B2:B319,A143)</f>
        <v>3</v>
      </c>
      <c r="G143" s="22" t="s">
        <v>211</v>
      </c>
      <c r="H143" s="4">
        <v>2.0</v>
      </c>
      <c r="I143" s="3"/>
      <c r="J143" s="3"/>
      <c r="K143" s="3"/>
      <c r="L143" s="3"/>
    </row>
    <row r="144">
      <c r="A144" s="1">
        <v>142.0</v>
      </c>
      <c r="B144" s="18">
        <f>countif(Nectar!D22:D1137,A144)</f>
        <v>3</v>
      </c>
      <c r="C144" s="3"/>
      <c r="D144" s="3"/>
      <c r="E144" s="3"/>
      <c r="F144" s="4">
        <f>countif(Fl_Leu_Au!B2:B320,A144)</f>
        <v>3</v>
      </c>
      <c r="G144" s="22" t="s">
        <v>211</v>
      </c>
      <c r="H144" s="4">
        <v>2.0</v>
      </c>
      <c r="I144" s="3"/>
      <c r="J144" s="3"/>
      <c r="K144" s="3"/>
      <c r="L144" s="3"/>
    </row>
    <row r="145">
      <c r="F145" s="3"/>
      <c r="G145" s="33"/>
    </row>
    <row r="146">
      <c r="F146" s="3"/>
      <c r="G146" s="33"/>
    </row>
    <row r="147">
      <c r="F147" s="3"/>
      <c r="G147" s="33"/>
    </row>
    <row r="148">
      <c r="F148" s="3"/>
      <c r="G148" s="33"/>
    </row>
    <row r="149">
      <c r="F149" s="3"/>
      <c r="G149" s="33"/>
    </row>
    <row r="150">
      <c r="F150" s="3"/>
      <c r="G150" s="33"/>
    </row>
    <row r="151">
      <c r="F151" s="3"/>
      <c r="G151" s="33"/>
    </row>
    <row r="152">
      <c r="F152" s="3"/>
      <c r="G152" s="33"/>
    </row>
    <row r="153">
      <c r="F153" s="3"/>
      <c r="G153" s="33"/>
    </row>
    <row r="154">
      <c r="F154" s="3"/>
      <c r="G154" s="33"/>
    </row>
    <row r="155">
      <c r="K155" s="3"/>
    </row>
    <row r="156">
      <c r="F156" s="3"/>
      <c r="G156" s="33"/>
    </row>
    <row r="157">
      <c r="F157" s="3"/>
      <c r="G157" s="33"/>
    </row>
    <row r="158">
      <c r="F158" s="3"/>
      <c r="G158" s="33"/>
    </row>
    <row r="159">
      <c r="F159" s="3"/>
      <c r="G159" s="33"/>
    </row>
    <row r="160">
      <c r="F160" s="3"/>
      <c r="G160" s="33"/>
    </row>
    <row r="161">
      <c r="F161" s="3"/>
      <c r="G161" s="33"/>
    </row>
    <row r="162">
      <c r="F162" s="3"/>
      <c r="G162" s="33"/>
    </row>
    <row r="163">
      <c r="F163" s="3"/>
      <c r="G163" s="33"/>
    </row>
    <row r="164">
      <c r="F164" s="3"/>
      <c r="G164" s="33"/>
    </row>
    <row r="165">
      <c r="F165" s="3"/>
      <c r="G165" s="33"/>
    </row>
    <row r="166">
      <c r="F166" s="3"/>
      <c r="G166" s="33"/>
    </row>
    <row r="167">
      <c r="F167" s="3"/>
      <c r="G167" s="33"/>
    </row>
    <row r="168">
      <c r="F168" s="3"/>
      <c r="G168" s="33"/>
    </row>
    <row r="169">
      <c r="F169" s="3"/>
      <c r="G169" s="33"/>
    </row>
    <row r="170">
      <c r="F170" s="3"/>
      <c r="G170" s="33"/>
    </row>
    <row r="171">
      <c r="F171" s="3"/>
      <c r="G171" s="33"/>
    </row>
    <row r="172">
      <c r="F172" s="3"/>
      <c r="G172" s="33"/>
    </row>
    <row r="173">
      <c r="F173" s="3"/>
      <c r="G173" s="33"/>
    </row>
    <row r="174">
      <c r="F174" s="3"/>
      <c r="G174" s="33"/>
    </row>
    <row r="175">
      <c r="F175" s="3"/>
      <c r="G175" s="33"/>
    </row>
    <row r="176">
      <c r="F176" s="3"/>
      <c r="G176" s="33"/>
    </row>
    <row r="177">
      <c r="F177" s="3"/>
      <c r="G177" s="33"/>
    </row>
    <row r="178">
      <c r="F178" s="3"/>
      <c r="G178" s="33"/>
    </row>
    <row r="179">
      <c r="F179" s="3"/>
      <c r="G179" s="33"/>
    </row>
    <row r="180">
      <c r="F180" s="3"/>
      <c r="G180" s="33"/>
    </row>
    <row r="181">
      <c r="F181" s="3"/>
      <c r="G181" s="33"/>
    </row>
    <row r="182">
      <c r="F182" s="3"/>
      <c r="G182" s="33"/>
    </row>
    <row r="183">
      <c r="F183" s="3"/>
      <c r="G183" s="33"/>
    </row>
    <row r="184">
      <c r="F184" s="3"/>
      <c r="G184" s="33"/>
    </row>
    <row r="185">
      <c r="F185" s="3"/>
      <c r="G185" s="33"/>
    </row>
    <row r="186">
      <c r="F186" s="3"/>
      <c r="G186" s="33"/>
    </row>
    <row r="187">
      <c r="F187" s="3"/>
      <c r="G187" s="33"/>
    </row>
    <row r="188">
      <c r="F188" s="3"/>
      <c r="G188" s="33"/>
    </row>
    <row r="189">
      <c r="F189" s="3"/>
      <c r="G189" s="33"/>
    </row>
    <row r="190">
      <c r="F190" s="3"/>
      <c r="G190" s="33"/>
    </row>
    <row r="191">
      <c r="F191" s="3"/>
      <c r="G191" s="33"/>
    </row>
    <row r="192">
      <c r="F192" s="3"/>
      <c r="G192" s="33"/>
    </row>
    <row r="193">
      <c r="F193" s="3"/>
      <c r="G193" s="33"/>
    </row>
    <row r="194">
      <c r="F194" s="3"/>
      <c r="G194" s="33"/>
    </row>
    <row r="195">
      <c r="F195" s="3"/>
      <c r="G195" s="33"/>
    </row>
    <row r="196">
      <c r="F196" s="3"/>
      <c r="G196" s="33"/>
    </row>
    <row r="197">
      <c r="F197" s="3"/>
      <c r="G197" s="33"/>
    </row>
    <row r="198">
      <c r="F198" s="3"/>
      <c r="G198" s="33"/>
    </row>
    <row r="199">
      <c r="F199" s="3"/>
      <c r="G199" s="33"/>
    </row>
    <row r="200">
      <c r="F200" s="3"/>
      <c r="G200" s="33"/>
    </row>
    <row r="201">
      <c r="F201" s="3"/>
      <c r="G201" s="33"/>
    </row>
    <row r="202">
      <c r="F202" s="3"/>
      <c r="G202" s="33"/>
    </row>
    <row r="203">
      <c r="F203" s="3"/>
      <c r="G203" s="33"/>
    </row>
    <row r="204">
      <c r="F204" s="3"/>
    </row>
    <row r="205">
      <c r="F205" s="3"/>
    </row>
    <row r="206">
      <c r="F206" s="3"/>
    </row>
    <row r="207">
      <c r="F207" s="3"/>
    </row>
    <row r="208">
      <c r="F208" s="3"/>
    </row>
    <row r="209">
      <c r="F209" s="3"/>
    </row>
    <row r="210">
      <c r="F210" s="3"/>
    </row>
    <row r="211">
      <c r="F211" s="3"/>
    </row>
    <row r="212">
      <c r="F212" s="3"/>
    </row>
    <row r="213">
      <c r="F213" s="3"/>
    </row>
    <row r="214">
      <c r="F214" s="3"/>
    </row>
    <row r="215">
      <c r="F215" s="3"/>
    </row>
    <row r="216">
      <c r="F216" s="3"/>
    </row>
    <row r="217">
      <c r="F217" s="3"/>
    </row>
    <row r="218">
      <c r="F218" s="3"/>
    </row>
    <row r="219">
      <c r="F219" s="3"/>
    </row>
    <row r="220">
      <c r="F220" s="3"/>
    </row>
    <row r="221">
      <c r="F221" s="3"/>
    </row>
    <row r="222">
      <c r="F222" s="3"/>
    </row>
    <row r="223">
      <c r="F223" s="3"/>
    </row>
    <row r="224">
      <c r="F224" s="3"/>
    </row>
    <row r="225">
      <c r="F225" s="3"/>
    </row>
    <row r="226">
      <c r="F226" s="3"/>
    </row>
    <row r="227">
      <c r="F227" s="3"/>
    </row>
    <row r="228">
      <c r="F228" s="3"/>
    </row>
    <row r="229">
      <c r="F229" s="3"/>
    </row>
    <row r="230">
      <c r="F230" s="3"/>
    </row>
    <row r="231">
      <c r="F231" s="3"/>
    </row>
    <row r="232">
      <c r="F232" s="3"/>
    </row>
    <row r="233">
      <c r="F233" s="3"/>
    </row>
    <row r="234">
      <c r="F234" s="3"/>
    </row>
    <row r="235">
      <c r="F235" s="3"/>
    </row>
    <row r="236">
      <c r="F236" s="3"/>
    </row>
    <row r="237">
      <c r="F237" s="3"/>
    </row>
    <row r="238">
      <c r="F238" s="3"/>
    </row>
    <row r="239">
      <c r="F239" s="3"/>
    </row>
    <row r="240">
      <c r="F240" s="3"/>
    </row>
    <row r="241">
      <c r="F241" s="3"/>
    </row>
    <row r="242">
      <c r="F242" s="3"/>
    </row>
    <row r="243">
      <c r="F243" s="3"/>
    </row>
    <row r="244">
      <c r="F244" s="3"/>
    </row>
    <row r="245">
      <c r="F245" s="3"/>
    </row>
    <row r="246">
      <c r="F246" s="3"/>
    </row>
    <row r="247">
      <c r="F247" s="3"/>
    </row>
    <row r="248">
      <c r="F248" s="3"/>
    </row>
    <row r="249">
      <c r="F249" s="3"/>
    </row>
    <row r="250">
      <c r="F250" s="3"/>
    </row>
    <row r="251">
      <c r="F251" s="3"/>
    </row>
    <row r="252">
      <c r="F252" s="3"/>
    </row>
    <row r="253">
      <c r="F253" s="3"/>
    </row>
    <row r="254">
      <c r="F254" s="3"/>
    </row>
    <row r="255">
      <c r="F255" s="3"/>
    </row>
    <row r="256">
      <c r="F256" s="3"/>
    </row>
    <row r="257">
      <c r="F257" s="3"/>
    </row>
    <row r="258">
      <c r="F258" s="3"/>
    </row>
    <row r="259">
      <c r="F259" s="3"/>
    </row>
    <row r="260">
      <c r="F260" s="3"/>
    </row>
    <row r="261">
      <c r="F261" s="3"/>
    </row>
    <row r="262">
      <c r="F262" s="3"/>
    </row>
    <row r="263">
      <c r="F263" s="3"/>
    </row>
    <row r="264">
      <c r="F264" s="3"/>
    </row>
    <row r="265">
      <c r="F265" s="3"/>
    </row>
    <row r="266">
      <c r="F266" s="3"/>
    </row>
    <row r="267">
      <c r="F267" s="3"/>
    </row>
    <row r="268">
      <c r="F268" s="3"/>
    </row>
    <row r="269">
      <c r="F269" s="3"/>
    </row>
    <row r="270">
      <c r="F270" s="3"/>
    </row>
    <row r="271">
      <c r="F271" s="3"/>
    </row>
    <row r="272">
      <c r="F272" s="3"/>
    </row>
    <row r="273">
      <c r="F273" s="3"/>
    </row>
    <row r="274">
      <c r="F274" s="3"/>
    </row>
    <row r="275">
      <c r="F275" s="3"/>
    </row>
    <row r="276">
      <c r="F276" s="3"/>
    </row>
    <row r="277">
      <c r="F277" s="3"/>
    </row>
    <row r="278">
      <c r="F278" s="3"/>
    </row>
    <row r="279">
      <c r="F279" s="3"/>
    </row>
    <row r="280">
      <c r="F280" s="3"/>
    </row>
    <row r="281">
      <c r="F281" s="3"/>
    </row>
    <row r="282">
      <c r="F282" s="3"/>
    </row>
    <row r="283">
      <c r="F283" s="3"/>
    </row>
    <row r="284">
      <c r="F284" s="3"/>
    </row>
    <row r="285">
      <c r="F285" s="3"/>
    </row>
    <row r="286">
      <c r="F286" s="3"/>
    </row>
    <row r="287">
      <c r="F287" s="3"/>
    </row>
    <row r="288">
      <c r="F288" s="3"/>
    </row>
    <row r="289">
      <c r="F289" s="3"/>
    </row>
    <row r="290">
      <c r="F290" s="3"/>
    </row>
    <row r="291">
      <c r="F291" s="3"/>
    </row>
    <row r="292">
      <c r="F292" s="3"/>
    </row>
    <row r="293">
      <c r="F293" s="3"/>
    </row>
    <row r="294">
      <c r="F294" s="3"/>
    </row>
    <row r="295">
      <c r="F295" s="3"/>
    </row>
    <row r="296">
      <c r="F296" s="3"/>
    </row>
    <row r="297">
      <c r="F297" s="3"/>
    </row>
    <row r="298">
      <c r="F298" s="3"/>
    </row>
    <row r="299">
      <c r="F299" s="3"/>
    </row>
    <row r="300">
      <c r="F300" s="3"/>
    </row>
    <row r="301">
      <c r="F301" s="3"/>
    </row>
    <row r="302">
      <c r="F302" s="3"/>
    </row>
    <row r="303">
      <c r="F303" s="3"/>
    </row>
    <row r="304">
      <c r="F304" s="3"/>
    </row>
    <row r="305">
      <c r="F305" s="3"/>
    </row>
    <row r="306">
      <c r="F306" s="3"/>
    </row>
    <row r="307">
      <c r="F307" s="3"/>
    </row>
    <row r="308">
      <c r="F308" s="3"/>
    </row>
    <row r="309">
      <c r="F309" s="3"/>
    </row>
    <row r="310">
      <c r="F310" s="3"/>
    </row>
    <row r="311">
      <c r="F311" s="3"/>
    </row>
    <row r="312">
      <c r="F312" s="3"/>
    </row>
    <row r="313">
      <c r="F313" s="3"/>
    </row>
    <row r="314">
      <c r="F314" s="3"/>
    </row>
    <row r="315">
      <c r="F315" s="3"/>
    </row>
    <row r="316">
      <c r="F316" s="3"/>
    </row>
    <row r="317">
      <c r="F317" s="3"/>
    </row>
    <row r="318">
      <c r="F318" s="3"/>
    </row>
    <row r="319">
      <c r="F319" s="3"/>
    </row>
    <row r="320">
      <c r="F320" s="3"/>
    </row>
    <row r="321">
      <c r="F321" s="3"/>
    </row>
    <row r="322">
      <c r="F322" s="3"/>
    </row>
    <row r="323">
      <c r="F323" s="3"/>
    </row>
    <row r="324">
      <c r="F324" s="3"/>
    </row>
    <row r="325">
      <c r="F325" s="3"/>
    </row>
    <row r="326">
      <c r="F326" s="3"/>
    </row>
    <row r="327">
      <c r="F327" s="3"/>
    </row>
    <row r="328">
      <c r="F328" s="3"/>
    </row>
    <row r="329">
      <c r="F329" s="3"/>
    </row>
    <row r="330">
      <c r="F330" s="3"/>
    </row>
    <row r="331">
      <c r="F331" s="3"/>
    </row>
    <row r="332">
      <c r="F332" s="3"/>
    </row>
    <row r="333">
      <c r="F333" s="3"/>
    </row>
    <row r="334">
      <c r="F334" s="3"/>
    </row>
    <row r="335">
      <c r="F335" s="3"/>
    </row>
    <row r="336">
      <c r="F336" s="3"/>
    </row>
    <row r="337">
      <c r="F337" s="3"/>
    </row>
    <row r="338">
      <c r="F338" s="3"/>
    </row>
    <row r="339">
      <c r="F339" s="3"/>
    </row>
    <row r="340">
      <c r="F340" s="3"/>
    </row>
    <row r="341">
      <c r="F341" s="3"/>
    </row>
    <row r="342">
      <c r="F342" s="3"/>
    </row>
    <row r="343">
      <c r="F343" s="3"/>
    </row>
    <row r="344">
      <c r="F344" s="3"/>
    </row>
    <row r="345">
      <c r="F345" s="3"/>
    </row>
    <row r="346">
      <c r="F346" s="3"/>
    </row>
    <row r="347">
      <c r="F347" s="3"/>
    </row>
    <row r="348">
      <c r="F348" s="3"/>
    </row>
    <row r="349">
      <c r="F349" s="3"/>
    </row>
    <row r="350">
      <c r="F350" s="3"/>
    </row>
    <row r="351">
      <c r="F351" s="3"/>
    </row>
    <row r="352">
      <c r="F352" s="3"/>
    </row>
    <row r="353">
      <c r="F353" s="3"/>
    </row>
    <row r="354">
      <c r="F354" s="3"/>
    </row>
    <row r="355">
      <c r="F355" s="3"/>
    </row>
    <row r="356">
      <c r="F356" s="3"/>
    </row>
    <row r="357">
      <c r="F357" s="3"/>
    </row>
    <row r="358">
      <c r="F358" s="3"/>
    </row>
    <row r="359">
      <c r="F359" s="3"/>
    </row>
    <row r="360">
      <c r="F360" s="3"/>
    </row>
    <row r="361">
      <c r="F361" s="3"/>
    </row>
    <row r="362">
      <c r="F362" s="3"/>
    </row>
    <row r="363">
      <c r="F363" s="3"/>
    </row>
    <row r="364">
      <c r="F364" s="3"/>
    </row>
    <row r="365">
      <c r="F365" s="3"/>
    </row>
    <row r="366">
      <c r="F366" s="3"/>
    </row>
    <row r="367">
      <c r="F367" s="3"/>
    </row>
    <row r="368">
      <c r="F368" s="3"/>
    </row>
    <row r="369">
      <c r="F369" s="3"/>
    </row>
    <row r="370">
      <c r="F370" s="3"/>
    </row>
    <row r="371">
      <c r="F371" s="3"/>
    </row>
    <row r="372">
      <c r="F372" s="3"/>
    </row>
    <row r="373">
      <c r="F373" s="3"/>
    </row>
    <row r="374">
      <c r="F374" s="3"/>
    </row>
    <row r="375">
      <c r="F375" s="3"/>
    </row>
    <row r="376">
      <c r="F376" s="3"/>
    </row>
    <row r="377">
      <c r="F377" s="3"/>
    </row>
    <row r="378">
      <c r="F378" s="3"/>
    </row>
    <row r="379">
      <c r="F379" s="3"/>
    </row>
    <row r="380">
      <c r="F380" s="3"/>
    </row>
    <row r="381">
      <c r="F381" s="3"/>
    </row>
    <row r="382">
      <c r="F382" s="3"/>
    </row>
    <row r="383">
      <c r="F383" s="3"/>
    </row>
    <row r="384">
      <c r="F384" s="3"/>
    </row>
    <row r="385">
      <c r="F385" s="3"/>
    </row>
    <row r="386">
      <c r="F386" s="3"/>
    </row>
    <row r="387">
      <c r="F387" s="3"/>
    </row>
    <row r="388">
      <c r="F388" s="3"/>
    </row>
    <row r="389">
      <c r="F389" s="3"/>
    </row>
    <row r="390">
      <c r="F390" s="3"/>
    </row>
    <row r="391">
      <c r="F391" s="3"/>
    </row>
    <row r="392">
      <c r="F392" s="3"/>
    </row>
    <row r="393">
      <c r="F393" s="3"/>
    </row>
    <row r="394">
      <c r="F394" s="3"/>
    </row>
    <row r="395">
      <c r="F395" s="3"/>
    </row>
    <row r="396">
      <c r="F396" s="3"/>
    </row>
    <row r="397">
      <c r="F397" s="3"/>
    </row>
    <row r="398">
      <c r="F398" s="3"/>
    </row>
    <row r="399">
      <c r="F399" s="3"/>
    </row>
    <row r="400">
      <c r="F400" s="3"/>
    </row>
    <row r="401">
      <c r="F401" s="3"/>
    </row>
    <row r="402">
      <c r="F402" s="3"/>
    </row>
    <row r="403">
      <c r="F403" s="3"/>
    </row>
    <row r="404">
      <c r="F404" s="3"/>
    </row>
    <row r="405">
      <c r="F405" s="3"/>
    </row>
    <row r="406">
      <c r="F406" s="3"/>
    </row>
    <row r="407">
      <c r="F407" s="3"/>
    </row>
    <row r="408">
      <c r="F408" s="3"/>
    </row>
    <row r="409">
      <c r="F409" s="3"/>
    </row>
    <row r="410">
      <c r="F410" s="3"/>
    </row>
    <row r="411">
      <c r="F411" s="3"/>
    </row>
    <row r="412">
      <c r="F412" s="3"/>
    </row>
    <row r="413">
      <c r="F413" s="3"/>
    </row>
    <row r="414">
      <c r="F414" s="3"/>
    </row>
    <row r="415">
      <c r="F415" s="3"/>
    </row>
    <row r="416">
      <c r="F416" s="3"/>
    </row>
    <row r="417">
      <c r="F417" s="3"/>
    </row>
    <row r="418">
      <c r="F418" s="3"/>
    </row>
    <row r="419">
      <c r="F419" s="3"/>
    </row>
    <row r="420">
      <c r="F420" s="3"/>
    </row>
    <row r="421">
      <c r="F421" s="3"/>
    </row>
    <row r="422">
      <c r="F422" s="3"/>
    </row>
    <row r="423">
      <c r="F423" s="3"/>
    </row>
    <row r="424">
      <c r="F424" s="3"/>
    </row>
    <row r="425">
      <c r="F425" s="3"/>
    </row>
    <row r="426">
      <c r="F426" s="3"/>
    </row>
    <row r="427">
      <c r="F427" s="3"/>
    </row>
    <row r="428">
      <c r="F428" s="3"/>
    </row>
    <row r="429">
      <c r="F429" s="3"/>
    </row>
    <row r="430">
      <c r="F430" s="3"/>
    </row>
    <row r="431">
      <c r="F431" s="3"/>
    </row>
    <row r="432">
      <c r="F432" s="3"/>
    </row>
    <row r="433">
      <c r="F433" s="3"/>
    </row>
    <row r="434">
      <c r="F434" s="3"/>
    </row>
    <row r="435">
      <c r="F435" s="3"/>
    </row>
    <row r="436">
      <c r="F436" s="3"/>
    </row>
    <row r="437">
      <c r="F437" s="3"/>
    </row>
    <row r="438">
      <c r="F438" s="3"/>
    </row>
    <row r="439">
      <c r="F439" s="3"/>
    </row>
    <row r="440">
      <c r="F440" s="3"/>
    </row>
    <row r="441">
      <c r="F441" s="3"/>
    </row>
    <row r="442">
      <c r="F442" s="3"/>
    </row>
    <row r="443">
      <c r="F443" s="3"/>
    </row>
    <row r="444">
      <c r="F444" s="3"/>
    </row>
    <row r="445">
      <c r="F445" s="3"/>
    </row>
    <row r="446">
      <c r="F446" s="3"/>
    </row>
    <row r="447">
      <c r="F447" s="3"/>
    </row>
    <row r="448">
      <c r="F448" s="3"/>
    </row>
    <row r="449">
      <c r="F449" s="3"/>
    </row>
    <row r="450">
      <c r="F450" s="3"/>
    </row>
    <row r="451">
      <c r="F451" s="3"/>
    </row>
    <row r="452">
      <c r="F452" s="3"/>
    </row>
    <row r="453">
      <c r="F453" s="3"/>
    </row>
    <row r="454">
      <c r="F454" s="3"/>
    </row>
    <row r="455">
      <c r="F455" s="3"/>
    </row>
    <row r="456">
      <c r="F456" s="3"/>
    </row>
    <row r="457">
      <c r="F457" s="3"/>
    </row>
    <row r="458">
      <c r="F458" s="3"/>
    </row>
    <row r="459">
      <c r="F459" s="3"/>
    </row>
    <row r="460">
      <c r="F460" s="3"/>
    </row>
    <row r="461">
      <c r="F461" s="3"/>
    </row>
    <row r="462">
      <c r="F462" s="3"/>
    </row>
    <row r="463">
      <c r="F463" s="3"/>
    </row>
    <row r="464">
      <c r="F464" s="3"/>
    </row>
    <row r="465">
      <c r="F465" s="3"/>
    </row>
    <row r="466">
      <c r="F466" s="3"/>
    </row>
    <row r="467">
      <c r="F467" s="3"/>
    </row>
    <row r="468">
      <c r="F468" s="3"/>
    </row>
    <row r="469">
      <c r="F469" s="3"/>
    </row>
    <row r="470">
      <c r="F470" s="3"/>
    </row>
    <row r="471">
      <c r="F471" s="3"/>
    </row>
    <row r="472">
      <c r="F472" s="3"/>
    </row>
    <row r="473">
      <c r="F473" s="3"/>
    </row>
    <row r="474">
      <c r="F474" s="3"/>
    </row>
    <row r="475">
      <c r="F475" s="3"/>
    </row>
    <row r="476">
      <c r="F476" s="3"/>
    </row>
    <row r="477">
      <c r="F477" s="3"/>
    </row>
    <row r="478">
      <c r="F478" s="3"/>
    </row>
    <row r="479">
      <c r="F479" s="3"/>
    </row>
    <row r="480">
      <c r="F480" s="3"/>
    </row>
    <row r="481">
      <c r="F481" s="3"/>
    </row>
    <row r="482">
      <c r="F482" s="3"/>
    </row>
    <row r="483">
      <c r="F483" s="3"/>
    </row>
    <row r="484">
      <c r="F484" s="3"/>
    </row>
    <row r="485">
      <c r="F485" s="3"/>
    </row>
    <row r="486">
      <c r="F486" s="3"/>
    </row>
    <row r="487">
      <c r="F487" s="3"/>
    </row>
    <row r="488">
      <c r="F488" s="3"/>
    </row>
    <row r="489">
      <c r="F489" s="3"/>
    </row>
    <row r="490">
      <c r="F490" s="3"/>
    </row>
    <row r="491">
      <c r="F491" s="3"/>
    </row>
    <row r="492">
      <c r="F492" s="3"/>
    </row>
    <row r="493">
      <c r="F493" s="3"/>
    </row>
    <row r="494">
      <c r="F494" s="3"/>
    </row>
    <row r="495">
      <c r="F495" s="3"/>
    </row>
    <row r="496">
      <c r="F496" s="3"/>
    </row>
    <row r="497">
      <c r="F497" s="3"/>
    </row>
    <row r="498">
      <c r="F498" s="3"/>
    </row>
    <row r="499">
      <c r="F499" s="3"/>
    </row>
    <row r="500">
      <c r="F500" s="3"/>
    </row>
    <row r="501">
      <c r="F501" s="3"/>
    </row>
    <row r="502">
      <c r="F502" s="3"/>
    </row>
    <row r="503">
      <c r="F503" s="3"/>
    </row>
    <row r="504">
      <c r="F504" s="3"/>
    </row>
    <row r="505">
      <c r="F505" s="3"/>
    </row>
    <row r="506">
      <c r="F506" s="3"/>
    </row>
    <row r="507">
      <c r="F507" s="3"/>
    </row>
    <row r="508">
      <c r="F508" s="3"/>
    </row>
    <row r="509">
      <c r="F509" s="3"/>
    </row>
    <row r="510">
      <c r="F510" s="3"/>
    </row>
    <row r="511">
      <c r="F511" s="3"/>
    </row>
    <row r="512">
      <c r="F512" s="3"/>
    </row>
    <row r="513">
      <c r="F513" s="3"/>
    </row>
    <row r="514">
      <c r="F514" s="3"/>
    </row>
    <row r="515">
      <c r="F515" s="3"/>
    </row>
    <row r="516">
      <c r="F516" s="3"/>
    </row>
    <row r="517">
      <c r="F517" s="3"/>
    </row>
    <row r="518">
      <c r="F518" s="3"/>
    </row>
    <row r="519">
      <c r="F519" s="3"/>
    </row>
    <row r="520">
      <c r="F520" s="3"/>
    </row>
    <row r="521">
      <c r="F521" s="3"/>
    </row>
    <row r="522">
      <c r="F522" s="3"/>
    </row>
    <row r="523">
      <c r="F523" s="3"/>
    </row>
    <row r="524">
      <c r="F524" s="3"/>
    </row>
    <row r="525">
      <c r="F525" s="3"/>
    </row>
    <row r="526">
      <c r="F526" s="3"/>
    </row>
    <row r="527">
      <c r="F527" s="3"/>
    </row>
    <row r="528">
      <c r="F528" s="3"/>
    </row>
    <row r="529">
      <c r="F529" s="3"/>
    </row>
    <row r="530">
      <c r="F530" s="3"/>
    </row>
    <row r="531">
      <c r="F531" s="3"/>
    </row>
    <row r="532">
      <c r="F532" s="3"/>
    </row>
    <row r="533">
      <c r="F533" s="3"/>
    </row>
    <row r="534">
      <c r="F534" s="3"/>
    </row>
    <row r="535">
      <c r="F535" s="3"/>
    </row>
    <row r="536">
      <c r="F536" s="3"/>
    </row>
    <row r="537">
      <c r="F537" s="3"/>
    </row>
    <row r="538">
      <c r="F538" s="3"/>
    </row>
    <row r="539">
      <c r="F539" s="3"/>
    </row>
    <row r="540">
      <c r="F540" s="3"/>
    </row>
    <row r="541">
      <c r="F541" s="3"/>
    </row>
    <row r="542">
      <c r="F542" s="3"/>
    </row>
    <row r="543">
      <c r="F543" s="3"/>
    </row>
    <row r="544">
      <c r="F544" s="3"/>
    </row>
    <row r="545">
      <c r="F545" s="3"/>
    </row>
    <row r="546">
      <c r="F546" s="3"/>
    </row>
    <row r="547">
      <c r="F547" s="3"/>
    </row>
    <row r="548">
      <c r="F548" s="3"/>
    </row>
    <row r="549">
      <c r="F549" s="3"/>
    </row>
    <row r="550">
      <c r="F550" s="3"/>
    </row>
    <row r="551">
      <c r="F551" s="3"/>
    </row>
    <row r="552">
      <c r="F552" s="3"/>
    </row>
    <row r="553">
      <c r="F553" s="3"/>
    </row>
    <row r="554">
      <c r="F554" s="3"/>
    </row>
    <row r="555">
      <c r="F555" s="3"/>
    </row>
    <row r="556">
      <c r="F556" s="3"/>
    </row>
    <row r="557">
      <c r="F557" s="3"/>
    </row>
    <row r="558">
      <c r="F558" s="3"/>
    </row>
    <row r="559">
      <c r="F559" s="3"/>
    </row>
    <row r="560">
      <c r="F560" s="3"/>
    </row>
    <row r="561">
      <c r="F561" s="3"/>
    </row>
    <row r="562">
      <c r="F562" s="3"/>
    </row>
    <row r="563">
      <c r="F563" s="3"/>
    </row>
    <row r="564">
      <c r="F564" s="3"/>
    </row>
    <row r="565">
      <c r="F565" s="3"/>
    </row>
    <row r="566">
      <c r="F566" s="3"/>
    </row>
    <row r="567">
      <c r="F567" s="3"/>
    </row>
    <row r="568">
      <c r="F568" s="3"/>
    </row>
    <row r="569">
      <c r="F569" s="3"/>
    </row>
    <row r="570">
      <c r="F570" s="3"/>
    </row>
    <row r="571">
      <c r="F571" s="3"/>
    </row>
    <row r="572">
      <c r="F572" s="3"/>
    </row>
    <row r="573">
      <c r="F573" s="3"/>
    </row>
    <row r="574">
      <c r="F574" s="3"/>
    </row>
    <row r="575">
      <c r="F575" s="3"/>
    </row>
    <row r="576">
      <c r="F576" s="3"/>
    </row>
    <row r="577">
      <c r="F577" s="3"/>
    </row>
    <row r="578">
      <c r="F578" s="3"/>
    </row>
    <row r="579">
      <c r="F579" s="3"/>
    </row>
    <row r="580">
      <c r="F580" s="3"/>
    </row>
    <row r="581">
      <c r="F581" s="3"/>
    </row>
    <row r="582">
      <c r="F582" s="3"/>
    </row>
    <row r="583">
      <c r="F583" s="3"/>
    </row>
    <row r="584">
      <c r="F584" s="3"/>
    </row>
    <row r="585">
      <c r="F585" s="3"/>
    </row>
    <row r="586">
      <c r="F586" s="3"/>
    </row>
    <row r="587">
      <c r="F587" s="3"/>
    </row>
    <row r="588">
      <c r="F588" s="3"/>
    </row>
    <row r="589">
      <c r="F589" s="3"/>
    </row>
    <row r="590">
      <c r="F590" s="3"/>
    </row>
    <row r="591">
      <c r="F591" s="3"/>
    </row>
    <row r="592">
      <c r="F592" s="3"/>
    </row>
    <row r="593">
      <c r="F593" s="3"/>
    </row>
    <row r="594">
      <c r="F594" s="3"/>
    </row>
    <row r="595">
      <c r="F595" s="3"/>
    </row>
    <row r="596">
      <c r="F596" s="3"/>
    </row>
    <row r="597">
      <c r="F597" s="3"/>
    </row>
    <row r="598">
      <c r="F598" s="3"/>
    </row>
    <row r="599">
      <c r="F599" s="3"/>
    </row>
    <row r="600">
      <c r="F600" s="3"/>
    </row>
    <row r="601">
      <c r="F601" s="3"/>
    </row>
    <row r="602">
      <c r="F602" s="3"/>
    </row>
    <row r="603">
      <c r="F603" s="3"/>
    </row>
    <row r="604">
      <c r="F604" s="3"/>
    </row>
    <row r="605">
      <c r="F605" s="3"/>
    </row>
    <row r="606">
      <c r="F606" s="3"/>
    </row>
    <row r="607">
      <c r="F607" s="3"/>
    </row>
    <row r="608">
      <c r="F608" s="3"/>
    </row>
    <row r="609">
      <c r="F609" s="3"/>
    </row>
    <row r="610">
      <c r="F610" s="3"/>
    </row>
    <row r="611">
      <c r="F611" s="3"/>
    </row>
    <row r="612">
      <c r="F612" s="3"/>
    </row>
    <row r="613">
      <c r="F613" s="3"/>
    </row>
    <row r="614">
      <c r="F614" s="3"/>
    </row>
    <row r="615">
      <c r="F615" s="3"/>
    </row>
    <row r="616">
      <c r="F616" s="3"/>
    </row>
    <row r="617">
      <c r="F617" s="3"/>
    </row>
    <row r="618">
      <c r="F618" s="3"/>
    </row>
    <row r="619">
      <c r="F619" s="3"/>
    </row>
    <row r="620">
      <c r="F620" s="3"/>
    </row>
    <row r="621">
      <c r="F621" s="3"/>
    </row>
    <row r="622">
      <c r="F622" s="3"/>
    </row>
    <row r="623">
      <c r="F623" s="3"/>
    </row>
    <row r="624">
      <c r="F624" s="3"/>
    </row>
    <row r="625">
      <c r="F625" s="3"/>
    </row>
    <row r="626">
      <c r="F626" s="3"/>
    </row>
    <row r="627">
      <c r="F627" s="3"/>
    </row>
    <row r="628">
      <c r="F628" s="3"/>
    </row>
    <row r="629">
      <c r="F629" s="3"/>
    </row>
    <row r="630">
      <c r="F630" s="3"/>
    </row>
    <row r="631">
      <c r="F631" s="3"/>
    </row>
    <row r="632">
      <c r="F632" s="3"/>
    </row>
    <row r="633">
      <c r="F633" s="3"/>
    </row>
    <row r="634">
      <c r="F634" s="3"/>
    </row>
    <row r="635">
      <c r="F635" s="3"/>
    </row>
    <row r="636">
      <c r="F636" s="3"/>
    </row>
    <row r="637">
      <c r="F637" s="3"/>
    </row>
    <row r="638">
      <c r="F638" s="3"/>
    </row>
    <row r="639">
      <c r="F639" s="3"/>
    </row>
    <row r="640">
      <c r="F640" s="3"/>
    </row>
    <row r="641">
      <c r="F641" s="3"/>
    </row>
    <row r="642">
      <c r="F642" s="3"/>
    </row>
    <row r="643">
      <c r="F643" s="3"/>
    </row>
    <row r="644">
      <c r="F644" s="3"/>
    </row>
    <row r="645">
      <c r="F645" s="3"/>
    </row>
    <row r="646">
      <c r="F646" s="3"/>
    </row>
    <row r="647">
      <c r="F647" s="3"/>
    </row>
    <row r="648">
      <c r="F648" s="3"/>
    </row>
    <row r="649">
      <c r="F649" s="3"/>
    </row>
    <row r="650">
      <c r="F650" s="3"/>
    </row>
    <row r="651">
      <c r="F651" s="3"/>
    </row>
    <row r="652">
      <c r="F652" s="3"/>
    </row>
    <row r="653">
      <c r="F653" s="3"/>
    </row>
    <row r="654">
      <c r="F654" s="3"/>
    </row>
    <row r="655">
      <c r="F655" s="3"/>
    </row>
    <row r="656">
      <c r="F656" s="3"/>
    </row>
    <row r="657">
      <c r="F657" s="3"/>
    </row>
    <row r="658">
      <c r="F658" s="3"/>
    </row>
    <row r="659">
      <c r="F659" s="3"/>
    </row>
    <row r="660">
      <c r="F660" s="3"/>
    </row>
    <row r="661">
      <c r="F661" s="3"/>
    </row>
    <row r="662">
      <c r="F662" s="3"/>
    </row>
    <row r="663">
      <c r="F663" s="3"/>
    </row>
    <row r="664">
      <c r="F664" s="3"/>
    </row>
    <row r="665">
      <c r="F665" s="3"/>
    </row>
    <row r="666">
      <c r="F666" s="3"/>
    </row>
    <row r="667">
      <c r="F667" s="3"/>
    </row>
    <row r="668">
      <c r="F668" s="3"/>
    </row>
    <row r="669">
      <c r="F669" s="3"/>
    </row>
    <row r="670">
      <c r="F670" s="3"/>
    </row>
    <row r="671">
      <c r="F671" s="3"/>
    </row>
    <row r="672">
      <c r="F672" s="3"/>
    </row>
    <row r="673">
      <c r="F673" s="3"/>
    </row>
    <row r="674">
      <c r="F674" s="3"/>
    </row>
    <row r="675">
      <c r="F675" s="3"/>
    </row>
    <row r="676">
      <c r="F676" s="3"/>
    </row>
    <row r="677">
      <c r="F677" s="3"/>
    </row>
    <row r="678">
      <c r="F678" s="3"/>
    </row>
    <row r="679">
      <c r="F679" s="3"/>
    </row>
    <row r="680">
      <c r="F680" s="3"/>
    </row>
    <row r="681">
      <c r="F681" s="3"/>
    </row>
    <row r="682">
      <c r="F682" s="3"/>
    </row>
    <row r="683">
      <c r="F683" s="3"/>
    </row>
    <row r="684">
      <c r="F684" s="3"/>
    </row>
    <row r="685">
      <c r="F685" s="3"/>
    </row>
    <row r="686">
      <c r="F686" s="3"/>
    </row>
    <row r="687">
      <c r="F687" s="3"/>
    </row>
    <row r="688">
      <c r="F688" s="3"/>
    </row>
    <row r="689">
      <c r="F689" s="3"/>
    </row>
    <row r="690">
      <c r="F690" s="3"/>
    </row>
    <row r="691">
      <c r="F691" s="3"/>
    </row>
    <row r="692">
      <c r="F692" s="3"/>
    </row>
    <row r="693">
      <c r="F693" s="3"/>
    </row>
    <row r="694">
      <c r="F694" s="3"/>
    </row>
    <row r="695">
      <c r="F695" s="3"/>
    </row>
    <row r="696">
      <c r="F696" s="3"/>
    </row>
    <row r="697">
      <c r="F697" s="3"/>
    </row>
    <row r="698">
      <c r="F698" s="3"/>
    </row>
    <row r="699">
      <c r="F699" s="3"/>
    </row>
    <row r="700">
      <c r="F700" s="3"/>
    </row>
    <row r="701">
      <c r="F701" s="3"/>
    </row>
    <row r="702">
      <c r="F702" s="3"/>
    </row>
    <row r="703">
      <c r="F703" s="3"/>
    </row>
    <row r="704">
      <c r="F704" s="3"/>
    </row>
    <row r="705">
      <c r="F705" s="3"/>
    </row>
    <row r="706">
      <c r="F706" s="3"/>
    </row>
    <row r="707">
      <c r="F707" s="3"/>
    </row>
    <row r="708">
      <c r="F708" s="3"/>
    </row>
    <row r="709">
      <c r="F709" s="3"/>
    </row>
    <row r="710">
      <c r="F710" s="3"/>
    </row>
    <row r="711">
      <c r="F711" s="3"/>
    </row>
    <row r="712">
      <c r="F712" s="3"/>
    </row>
    <row r="713">
      <c r="F713" s="3"/>
    </row>
    <row r="714">
      <c r="F714" s="3"/>
    </row>
    <row r="715">
      <c r="F715" s="3"/>
    </row>
    <row r="716">
      <c r="F716" s="3"/>
    </row>
    <row r="717">
      <c r="F717" s="3"/>
    </row>
    <row r="718">
      <c r="F718" s="3"/>
    </row>
    <row r="719">
      <c r="F719" s="3"/>
    </row>
    <row r="720">
      <c r="F720" s="3"/>
    </row>
    <row r="721">
      <c r="F721" s="3"/>
    </row>
    <row r="722">
      <c r="F722" s="3"/>
    </row>
    <row r="723">
      <c r="F723" s="3"/>
    </row>
    <row r="724">
      <c r="F724" s="3"/>
    </row>
    <row r="725">
      <c r="F725" s="3"/>
    </row>
    <row r="726">
      <c r="F726" s="3"/>
    </row>
    <row r="727">
      <c r="F727" s="3"/>
    </row>
    <row r="728">
      <c r="F728" s="3"/>
    </row>
    <row r="729">
      <c r="F729" s="3"/>
    </row>
    <row r="730">
      <c r="F730" s="3"/>
    </row>
    <row r="731">
      <c r="F731" s="3"/>
    </row>
    <row r="732">
      <c r="F732" s="3"/>
    </row>
    <row r="733">
      <c r="F733" s="3"/>
    </row>
    <row r="734">
      <c r="F734" s="3"/>
    </row>
    <row r="735">
      <c r="F735" s="3"/>
    </row>
    <row r="736">
      <c r="F736" s="3"/>
    </row>
    <row r="737">
      <c r="F737" s="3"/>
    </row>
    <row r="738">
      <c r="F738" s="3"/>
    </row>
    <row r="739">
      <c r="F739" s="3"/>
    </row>
    <row r="740">
      <c r="F740" s="3"/>
    </row>
    <row r="741">
      <c r="F741" s="3"/>
    </row>
    <row r="742">
      <c r="F742" s="3"/>
    </row>
    <row r="743">
      <c r="F743" s="3"/>
    </row>
    <row r="744">
      <c r="F744" s="3"/>
    </row>
    <row r="745">
      <c r="F745" s="3"/>
    </row>
    <row r="746">
      <c r="F746" s="3"/>
    </row>
    <row r="747">
      <c r="F747" s="3"/>
    </row>
    <row r="748">
      <c r="F748" s="3"/>
    </row>
    <row r="749">
      <c r="F749" s="3"/>
    </row>
    <row r="750">
      <c r="F750" s="3"/>
    </row>
    <row r="751">
      <c r="F751" s="3"/>
    </row>
    <row r="752">
      <c r="F752" s="3"/>
    </row>
    <row r="753">
      <c r="F753" s="3"/>
    </row>
    <row r="754">
      <c r="F754" s="3"/>
    </row>
    <row r="755">
      <c r="F755" s="3"/>
    </row>
    <row r="756">
      <c r="F756" s="3"/>
    </row>
    <row r="757">
      <c r="F757" s="3"/>
    </row>
    <row r="758">
      <c r="F758" s="3"/>
    </row>
    <row r="759">
      <c r="F759" s="3"/>
    </row>
    <row r="760">
      <c r="F760" s="3"/>
    </row>
    <row r="761">
      <c r="F761" s="3"/>
    </row>
    <row r="762">
      <c r="F762" s="3"/>
    </row>
    <row r="763">
      <c r="F763" s="3"/>
    </row>
    <row r="764">
      <c r="F764" s="3"/>
    </row>
    <row r="765">
      <c r="F765" s="3"/>
    </row>
    <row r="766">
      <c r="F766" s="3"/>
    </row>
    <row r="767">
      <c r="F767" s="3"/>
    </row>
    <row r="768">
      <c r="F768" s="3"/>
    </row>
    <row r="769">
      <c r="F769" s="3"/>
    </row>
    <row r="770">
      <c r="F770" s="3"/>
    </row>
    <row r="771">
      <c r="F771" s="3"/>
    </row>
    <row r="772">
      <c r="F772" s="3"/>
    </row>
    <row r="773">
      <c r="F773" s="3"/>
    </row>
    <row r="774">
      <c r="F774" s="3"/>
    </row>
    <row r="775">
      <c r="F775" s="3"/>
    </row>
    <row r="776">
      <c r="F776" s="3"/>
    </row>
    <row r="777">
      <c r="F777" s="3"/>
    </row>
    <row r="778">
      <c r="F778" s="3"/>
    </row>
    <row r="779">
      <c r="F779" s="3"/>
    </row>
    <row r="780">
      <c r="F780" s="3"/>
    </row>
    <row r="781">
      <c r="F781" s="3"/>
    </row>
    <row r="782">
      <c r="F782" s="3"/>
    </row>
    <row r="783">
      <c r="F783" s="3"/>
    </row>
    <row r="784">
      <c r="F784" s="3"/>
    </row>
    <row r="785">
      <c r="F785" s="3"/>
    </row>
    <row r="786">
      <c r="F786" s="3"/>
    </row>
    <row r="787">
      <c r="F787" s="3"/>
    </row>
    <row r="788">
      <c r="F788" s="3"/>
    </row>
    <row r="789">
      <c r="F789" s="3"/>
    </row>
    <row r="790">
      <c r="F790" s="3"/>
    </row>
    <row r="791">
      <c r="F791" s="3"/>
    </row>
    <row r="792">
      <c r="F792" s="3"/>
    </row>
    <row r="793">
      <c r="F793" s="3"/>
    </row>
    <row r="794">
      <c r="F794" s="3"/>
    </row>
    <row r="795">
      <c r="F795" s="3"/>
    </row>
    <row r="796">
      <c r="F796" s="3"/>
    </row>
    <row r="797">
      <c r="F797" s="3"/>
    </row>
    <row r="798">
      <c r="F798" s="3"/>
    </row>
    <row r="799">
      <c r="F799" s="3"/>
    </row>
    <row r="800">
      <c r="F800" s="3"/>
    </row>
    <row r="801">
      <c r="F801" s="3"/>
    </row>
    <row r="802">
      <c r="F802" s="3"/>
    </row>
    <row r="803">
      <c r="F803" s="3"/>
    </row>
    <row r="804">
      <c r="F804" s="3"/>
    </row>
    <row r="805">
      <c r="F805" s="3"/>
    </row>
    <row r="806">
      <c r="F806" s="3"/>
    </row>
    <row r="807">
      <c r="F807" s="3"/>
    </row>
    <row r="808">
      <c r="F808" s="3"/>
    </row>
    <row r="809">
      <c r="F809" s="3"/>
    </row>
    <row r="810">
      <c r="F810" s="3"/>
    </row>
    <row r="811">
      <c r="F811" s="3"/>
    </row>
    <row r="812">
      <c r="F812" s="3"/>
    </row>
    <row r="813">
      <c r="F813" s="3"/>
    </row>
    <row r="814">
      <c r="F814" s="3"/>
    </row>
    <row r="815">
      <c r="F815" s="3"/>
    </row>
    <row r="816">
      <c r="F816" s="3"/>
    </row>
    <row r="817">
      <c r="F817" s="3"/>
    </row>
    <row r="818">
      <c r="F818" s="3"/>
    </row>
    <row r="819">
      <c r="F819" s="3"/>
    </row>
    <row r="820">
      <c r="F820" s="3"/>
    </row>
    <row r="821">
      <c r="F821" s="3"/>
    </row>
    <row r="822">
      <c r="F822" s="3"/>
    </row>
    <row r="823">
      <c r="F823" s="3"/>
    </row>
    <row r="824">
      <c r="F824" s="3"/>
    </row>
    <row r="825">
      <c r="F825" s="3"/>
    </row>
    <row r="826">
      <c r="F826" s="3"/>
    </row>
    <row r="827">
      <c r="F827" s="3"/>
    </row>
    <row r="828">
      <c r="F828" s="3"/>
    </row>
    <row r="829">
      <c r="F829" s="3"/>
    </row>
    <row r="830">
      <c r="F830" s="3"/>
    </row>
    <row r="831">
      <c r="F831" s="3"/>
    </row>
    <row r="832">
      <c r="F832" s="3"/>
    </row>
    <row r="833">
      <c r="F833" s="3"/>
    </row>
    <row r="834">
      <c r="F834" s="3"/>
    </row>
    <row r="835">
      <c r="F835" s="3"/>
    </row>
    <row r="836">
      <c r="F836" s="3"/>
    </row>
    <row r="837">
      <c r="F837" s="3"/>
    </row>
    <row r="838">
      <c r="F838" s="3"/>
    </row>
    <row r="839">
      <c r="F839" s="3"/>
    </row>
    <row r="840">
      <c r="F840" s="3"/>
    </row>
    <row r="841">
      <c r="F841" s="3"/>
    </row>
    <row r="842">
      <c r="F842" s="3"/>
    </row>
    <row r="843">
      <c r="F843" s="3"/>
    </row>
    <row r="844">
      <c r="F844" s="3"/>
    </row>
    <row r="845">
      <c r="F845" s="3"/>
    </row>
    <row r="846">
      <c r="F846" s="3"/>
    </row>
    <row r="847">
      <c r="F847" s="3"/>
    </row>
    <row r="848">
      <c r="F848" s="3"/>
    </row>
    <row r="849">
      <c r="F849" s="3"/>
    </row>
    <row r="850">
      <c r="F850" s="3"/>
    </row>
    <row r="851">
      <c r="F851" s="3"/>
    </row>
    <row r="852">
      <c r="F852" s="3"/>
    </row>
    <row r="853">
      <c r="F853" s="3"/>
    </row>
    <row r="854">
      <c r="F854" s="3"/>
    </row>
    <row r="855">
      <c r="F855" s="3"/>
    </row>
    <row r="856">
      <c r="F856" s="3"/>
    </row>
    <row r="857">
      <c r="F857" s="3"/>
    </row>
    <row r="858">
      <c r="F858" s="3"/>
    </row>
    <row r="859">
      <c r="F859" s="3"/>
    </row>
    <row r="860">
      <c r="F860" s="3"/>
    </row>
    <row r="861">
      <c r="F861" s="3"/>
    </row>
    <row r="862">
      <c r="F862" s="3"/>
    </row>
    <row r="863">
      <c r="F863" s="3"/>
    </row>
    <row r="864">
      <c r="F864" s="3"/>
    </row>
    <row r="865">
      <c r="F865" s="3"/>
    </row>
    <row r="866">
      <c r="F866" s="3"/>
    </row>
    <row r="867">
      <c r="F867" s="3"/>
    </row>
    <row r="868">
      <c r="F868" s="3"/>
    </row>
    <row r="869">
      <c r="F869" s="3"/>
    </row>
    <row r="870">
      <c r="F870" s="3"/>
    </row>
    <row r="871">
      <c r="F871" s="3"/>
    </row>
    <row r="872">
      <c r="F872" s="3"/>
    </row>
    <row r="873">
      <c r="F873" s="3"/>
    </row>
    <row r="874">
      <c r="F874" s="3"/>
    </row>
    <row r="875">
      <c r="F875" s="3"/>
    </row>
    <row r="876">
      <c r="F876" s="3"/>
    </row>
    <row r="877">
      <c r="F877" s="3"/>
    </row>
    <row r="878">
      <c r="F878" s="3"/>
    </row>
    <row r="879">
      <c r="F879" s="3"/>
    </row>
    <row r="880">
      <c r="F880" s="3"/>
    </row>
    <row r="881">
      <c r="F881" s="3"/>
    </row>
    <row r="882">
      <c r="F882" s="3"/>
    </row>
    <row r="883">
      <c r="F883" s="3"/>
    </row>
    <row r="884">
      <c r="F884" s="3"/>
    </row>
    <row r="885">
      <c r="F885" s="3"/>
    </row>
    <row r="886">
      <c r="F886" s="3"/>
    </row>
    <row r="887">
      <c r="F887" s="3"/>
    </row>
    <row r="888">
      <c r="F888" s="3"/>
    </row>
    <row r="889">
      <c r="F889" s="3"/>
    </row>
    <row r="890">
      <c r="F890" s="3"/>
    </row>
    <row r="891">
      <c r="F891" s="3"/>
    </row>
    <row r="892">
      <c r="F892" s="3"/>
    </row>
    <row r="893">
      <c r="F893" s="3"/>
    </row>
    <row r="894">
      <c r="F894" s="3"/>
    </row>
    <row r="895">
      <c r="F895" s="3"/>
    </row>
    <row r="896">
      <c r="F896" s="3"/>
    </row>
    <row r="897">
      <c r="F897" s="3"/>
    </row>
    <row r="898">
      <c r="F898" s="3"/>
    </row>
    <row r="899">
      <c r="F899" s="3"/>
    </row>
    <row r="900">
      <c r="F900" s="3"/>
    </row>
    <row r="901">
      <c r="F901" s="3"/>
    </row>
    <row r="902">
      <c r="F902" s="3"/>
    </row>
    <row r="903">
      <c r="F903" s="3"/>
    </row>
    <row r="904">
      <c r="F904" s="3"/>
    </row>
    <row r="905">
      <c r="F905" s="3"/>
    </row>
    <row r="906">
      <c r="F906" s="3"/>
    </row>
    <row r="907">
      <c r="F907" s="3"/>
    </row>
    <row r="908">
      <c r="F908" s="3"/>
    </row>
    <row r="909">
      <c r="F909" s="3"/>
    </row>
    <row r="910">
      <c r="F910" s="3"/>
    </row>
    <row r="911">
      <c r="F911" s="3"/>
    </row>
    <row r="912">
      <c r="F912" s="3"/>
    </row>
    <row r="913">
      <c r="F913" s="3"/>
    </row>
    <row r="914">
      <c r="F914" s="3"/>
    </row>
    <row r="915">
      <c r="F915" s="3"/>
    </row>
    <row r="916">
      <c r="F916" s="3"/>
    </row>
    <row r="917">
      <c r="F917" s="3"/>
    </row>
    <row r="918">
      <c r="F918" s="3"/>
    </row>
    <row r="919">
      <c r="F919" s="3"/>
    </row>
    <row r="920">
      <c r="F920" s="3"/>
    </row>
    <row r="921">
      <c r="F921" s="3"/>
    </row>
    <row r="922">
      <c r="F922" s="3"/>
    </row>
    <row r="923">
      <c r="F923" s="3"/>
    </row>
    <row r="924">
      <c r="F924" s="3"/>
    </row>
    <row r="925">
      <c r="F925" s="3"/>
    </row>
    <row r="926">
      <c r="F926" s="3"/>
    </row>
    <row r="927">
      <c r="F927" s="3"/>
    </row>
    <row r="928">
      <c r="F928" s="3"/>
    </row>
    <row r="929">
      <c r="F929" s="3"/>
    </row>
    <row r="930">
      <c r="F930" s="3"/>
    </row>
    <row r="931">
      <c r="F931" s="3"/>
    </row>
    <row r="932">
      <c r="F932" s="3"/>
    </row>
    <row r="933">
      <c r="F933" s="3"/>
    </row>
    <row r="934">
      <c r="F934" s="3"/>
    </row>
    <row r="935">
      <c r="F935" s="3"/>
    </row>
    <row r="936">
      <c r="F936" s="3"/>
    </row>
    <row r="937">
      <c r="F937" s="3"/>
    </row>
    <row r="938">
      <c r="F938" s="3"/>
    </row>
    <row r="939">
      <c r="F939" s="3"/>
    </row>
    <row r="940">
      <c r="F940" s="3"/>
    </row>
    <row r="941">
      <c r="F941" s="3"/>
    </row>
    <row r="942">
      <c r="F942" s="3"/>
    </row>
    <row r="943">
      <c r="F943" s="3"/>
    </row>
    <row r="944">
      <c r="F944" s="3"/>
    </row>
    <row r="945">
      <c r="F945" s="3"/>
    </row>
    <row r="946">
      <c r="F946" s="3"/>
    </row>
    <row r="947">
      <c r="F947" s="3"/>
    </row>
    <row r="948">
      <c r="F948" s="3"/>
    </row>
    <row r="949">
      <c r="F949" s="3"/>
    </row>
    <row r="950">
      <c r="F950" s="3"/>
    </row>
    <row r="951">
      <c r="F951" s="3"/>
    </row>
    <row r="952">
      <c r="F952" s="3"/>
    </row>
    <row r="953">
      <c r="F953" s="3"/>
    </row>
    <row r="954">
      <c r="F954" s="3"/>
    </row>
    <row r="955">
      <c r="F955" s="3"/>
    </row>
    <row r="956">
      <c r="F956" s="3"/>
    </row>
    <row r="957">
      <c r="F957" s="3"/>
    </row>
    <row r="958">
      <c r="F958" s="3"/>
    </row>
    <row r="959">
      <c r="F959" s="3"/>
    </row>
    <row r="960">
      <c r="F960" s="3"/>
    </row>
    <row r="961">
      <c r="F961" s="3"/>
    </row>
    <row r="962">
      <c r="F962" s="3"/>
    </row>
    <row r="963">
      <c r="F963" s="3"/>
    </row>
    <row r="964">
      <c r="F964" s="3"/>
    </row>
    <row r="965">
      <c r="F965" s="3"/>
    </row>
    <row r="966">
      <c r="F966" s="3"/>
    </row>
    <row r="967">
      <c r="F967" s="3"/>
    </row>
    <row r="968">
      <c r="F968" s="3"/>
    </row>
    <row r="969">
      <c r="F969" s="3"/>
    </row>
    <row r="970">
      <c r="F970" s="3"/>
    </row>
    <row r="971">
      <c r="F971" s="3"/>
    </row>
    <row r="972">
      <c r="F972" s="3"/>
    </row>
    <row r="973">
      <c r="F973" s="3"/>
    </row>
    <row r="974">
      <c r="F974" s="3"/>
    </row>
    <row r="975">
      <c r="F975" s="3"/>
    </row>
    <row r="976">
      <c r="F976" s="3"/>
    </row>
    <row r="977">
      <c r="F977" s="3"/>
    </row>
    <row r="978">
      <c r="F978" s="3"/>
    </row>
    <row r="979">
      <c r="F979" s="3"/>
    </row>
    <row r="980">
      <c r="F980" s="3"/>
    </row>
    <row r="981">
      <c r="F981" s="3"/>
    </row>
    <row r="982">
      <c r="F982" s="3"/>
    </row>
    <row r="983">
      <c r="F983" s="3"/>
    </row>
    <row r="984">
      <c r="F984" s="3"/>
    </row>
    <row r="985">
      <c r="F985" s="3"/>
    </row>
    <row r="986">
      <c r="F986" s="3"/>
    </row>
    <row r="987">
      <c r="F987" s="3"/>
    </row>
    <row r="988">
      <c r="F988" s="3"/>
    </row>
    <row r="989">
      <c r="F989" s="3"/>
    </row>
    <row r="990">
      <c r="F990" s="3"/>
    </row>
    <row r="991">
      <c r="F991" s="3"/>
    </row>
    <row r="992">
      <c r="F992" s="3"/>
    </row>
    <row r="993">
      <c r="F993" s="3"/>
    </row>
    <row r="994">
      <c r="F994" s="3"/>
    </row>
    <row r="995">
      <c r="F995" s="3"/>
    </row>
    <row r="996">
      <c r="F996" s="3"/>
    </row>
    <row r="997">
      <c r="F997" s="3"/>
    </row>
    <row r="998">
      <c r="F998" s="3"/>
    </row>
    <row r="999">
      <c r="F999" s="3"/>
    </row>
    <row r="1000">
      <c r="F1000" s="3"/>
    </row>
    <row r="1001">
      <c r="F1001" s="3"/>
    </row>
    <row r="1002">
      <c r="F1002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9.43"/>
    <col customWidth="1" min="2" max="2" width="9.29"/>
    <col customWidth="1" min="3" max="3" width="6.71"/>
    <col customWidth="1" min="4" max="4" width="4.71"/>
    <col customWidth="1" min="5" max="5" width="7.0"/>
    <col customWidth="1" min="6" max="6" width="12.29"/>
    <col customWidth="1" min="7" max="7" width="11.57"/>
    <col customWidth="1" min="8" max="8" width="11.0"/>
    <col customWidth="1" min="9" max="9" width="23.14"/>
    <col customWidth="1" min="10" max="10" width="13.86"/>
    <col customWidth="1" min="11" max="11" width="27.29"/>
    <col customWidth="1" min="12" max="12" width="17.0"/>
    <col customWidth="1" min="13" max="13" width="10.71"/>
    <col customWidth="1" min="14" max="14" width="16.43"/>
    <col customWidth="1" min="15" max="15" width="10.14"/>
    <col customWidth="1" min="16" max="16" width="20.43"/>
    <col customWidth="1" min="17" max="18" width="46.57"/>
    <col customWidth="1" min="19" max="19" width="13.29"/>
    <col customWidth="1" min="20" max="20" width="12.43"/>
    <col customWidth="1" min="21" max="21" width="14.57"/>
    <col customWidth="1" min="22" max="22" width="13.0"/>
    <col customWidth="1" min="23" max="23" width="10.71"/>
    <col customWidth="1" min="24" max="24" width="9.86"/>
    <col customWidth="1" min="25" max="25" width="13.43"/>
    <col customWidth="1" min="27" max="27" width="33.71"/>
  </cols>
  <sheetData>
    <row r="1">
      <c r="A1" s="12" t="s">
        <v>8</v>
      </c>
      <c r="B1" s="12" t="s">
        <v>11</v>
      </c>
      <c r="C1" s="12" t="s">
        <v>21</v>
      </c>
      <c r="D1" s="12" t="s">
        <v>22</v>
      </c>
      <c r="E1" s="12" t="s">
        <v>23</v>
      </c>
      <c r="F1" s="12" t="s">
        <v>24</v>
      </c>
      <c r="G1" s="12" t="s">
        <v>25</v>
      </c>
      <c r="H1" s="12" t="s">
        <v>26</v>
      </c>
      <c r="I1" s="12" t="s">
        <v>27</v>
      </c>
      <c r="J1" s="12" t="s">
        <v>28</v>
      </c>
      <c r="K1" s="12" t="s">
        <v>29</v>
      </c>
      <c r="L1" s="12" t="s">
        <v>30</v>
      </c>
      <c r="M1" s="12" t="s">
        <v>14</v>
      </c>
      <c r="N1" s="12" t="s">
        <v>31</v>
      </c>
      <c r="O1" s="12" t="s">
        <v>32</v>
      </c>
      <c r="P1" s="12" t="s">
        <v>33</v>
      </c>
      <c r="Q1" s="12" t="s">
        <v>34</v>
      </c>
      <c r="R1" s="12" t="s">
        <v>35</v>
      </c>
      <c r="S1" s="12" t="s">
        <v>36</v>
      </c>
      <c r="T1" s="12" t="s">
        <v>37</v>
      </c>
      <c r="U1" s="12" t="s">
        <v>38</v>
      </c>
      <c r="V1" s="12" t="s">
        <v>39</v>
      </c>
      <c r="W1" s="12" t="s">
        <v>40</v>
      </c>
      <c r="X1" s="12" t="s">
        <v>41</v>
      </c>
      <c r="Y1" s="12" t="s">
        <v>42</v>
      </c>
      <c r="Z1" s="10" t="s">
        <v>43</v>
      </c>
    </row>
    <row r="2">
      <c r="A2" s="13">
        <v>42905.0</v>
      </c>
      <c r="B2" s="14">
        <v>38.0</v>
      </c>
      <c r="C2" s="12" t="s">
        <v>44</v>
      </c>
      <c r="D2" s="12" t="s">
        <v>45</v>
      </c>
      <c r="E2" s="12" t="s">
        <v>46</v>
      </c>
      <c r="F2" s="12" t="s">
        <v>47</v>
      </c>
      <c r="G2" s="12" t="s">
        <v>48</v>
      </c>
      <c r="H2" s="14">
        <v>1.0</v>
      </c>
      <c r="I2" s="14">
        <v>2.0</v>
      </c>
      <c r="J2" s="14">
        <v>1.0</v>
      </c>
      <c r="K2" s="14">
        <v>8.41</v>
      </c>
      <c r="L2" s="14">
        <v>6.68</v>
      </c>
      <c r="M2" s="14">
        <v>32.88</v>
      </c>
      <c r="N2" s="14">
        <v>42.02</v>
      </c>
      <c r="O2" s="14">
        <v>34.33</v>
      </c>
      <c r="P2" s="14">
        <v>0.0</v>
      </c>
      <c r="Q2" s="14">
        <v>4.17</v>
      </c>
      <c r="R2" s="14">
        <v>0.0</v>
      </c>
      <c r="S2" s="14">
        <v>3.0</v>
      </c>
      <c r="T2" s="14">
        <v>0.0</v>
      </c>
      <c r="U2" s="14">
        <v>2.0</v>
      </c>
      <c r="V2" s="14">
        <v>23.16</v>
      </c>
      <c r="W2" s="14">
        <v>28.5</v>
      </c>
      <c r="X2" s="14">
        <v>24.57</v>
      </c>
      <c r="Y2" s="14">
        <v>0.75</v>
      </c>
      <c r="Z2" s="15"/>
      <c r="AA2" s="15"/>
    </row>
    <row r="3">
      <c r="A3" s="13">
        <v>42909.0</v>
      </c>
      <c r="B3" s="14">
        <v>66.0</v>
      </c>
      <c r="C3" s="12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4">
        <v>1.0</v>
      </c>
      <c r="I3" s="14">
        <v>2.0</v>
      </c>
      <c r="J3" s="14">
        <v>1.0</v>
      </c>
      <c r="K3" s="14">
        <v>37.25</v>
      </c>
      <c r="L3" s="14">
        <v>10.86</v>
      </c>
      <c r="M3" s="14">
        <v>47.47</v>
      </c>
      <c r="N3" s="14">
        <v>56.4</v>
      </c>
      <c r="O3" s="14">
        <v>50.77</v>
      </c>
      <c r="P3" s="14">
        <v>0.0</v>
      </c>
      <c r="Q3" s="14">
        <v>6.97</v>
      </c>
      <c r="R3" s="14">
        <v>0.0</v>
      </c>
      <c r="S3" s="14">
        <v>3.0</v>
      </c>
      <c r="T3" s="14">
        <v>0.0</v>
      </c>
      <c r="U3" s="14">
        <v>2.0</v>
      </c>
      <c r="V3" s="14">
        <v>29.51</v>
      </c>
      <c r="W3" s="14">
        <v>37.21</v>
      </c>
      <c r="X3" s="14">
        <v>35.78</v>
      </c>
      <c r="Y3" s="14">
        <v>0.75</v>
      </c>
      <c r="Z3" s="15"/>
      <c r="AA3" s="15"/>
    </row>
    <row r="4">
      <c r="R4" s="10">
        <v>1.3</v>
      </c>
    </row>
    <row r="5">
      <c r="A5" s="13">
        <v>42922.0</v>
      </c>
      <c r="B5" s="10" t="s">
        <v>49</v>
      </c>
      <c r="C5" s="10" t="s">
        <v>44</v>
      </c>
      <c r="D5" s="10" t="s">
        <v>50</v>
      </c>
      <c r="E5" s="10" t="s">
        <v>46</v>
      </c>
      <c r="F5" s="10" t="s">
        <v>51</v>
      </c>
      <c r="G5" s="10" t="s">
        <v>52</v>
      </c>
      <c r="H5" s="10">
        <v>1.0</v>
      </c>
      <c r="I5" s="10">
        <v>3.0</v>
      </c>
      <c r="J5" s="10">
        <v>1.0</v>
      </c>
      <c r="K5" s="10">
        <v>38.82</v>
      </c>
      <c r="L5" s="10">
        <v>11.48</v>
      </c>
      <c r="M5" s="10">
        <v>40.48</v>
      </c>
      <c r="N5" s="10">
        <v>51.49</v>
      </c>
      <c r="O5" s="10">
        <v>46.11</v>
      </c>
      <c r="P5" s="10">
        <v>-1.0</v>
      </c>
      <c r="Q5" s="10">
        <v>-6.62</v>
      </c>
      <c r="R5" s="10">
        <v>-1.26</v>
      </c>
      <c r="S5" s="10">
        <v>5.0</v>
      </c>
      <c r="T5" s="10">
        <v>0.0</v>
      </c>
      <c r="U5" s="10">
        <v>0.0</v>
      </c>
      <c r="V5" s="10">
        <v>27.64</v>
      </c>
      <c r="W5" s="10">
        <v>49.21</v>
      </c>
      <c r="X5" s="10">
        <v>36.51</v>
      </c>
      <c r="Y5" s="10" t="s">
        <v>53</v>
      </c>
      <c r="AA5" s="10"/>
    </row>
    <row r="6">
      <c r="A6" s="16">
        <v>42929.0</v>
      </c>
      <c r="B6" s="10" t="s">
        <v>49</v>
      </c>
      <c r="C6" s="10" t="s">
        <v>44</v>
      </c>
      <c r="D6" s="10" t="s">
        <v>50</v>
      </c>
      <c r="E6" s="10" t="s">
        <v>46</v>
      </c>
      <c r="F6" s="10" t="s">
        <v>54</v>
      </c>
      <c r="G6" s="10" t="s">
        <v>45</v>
      </c>
      <c r="H6" s="10">
        <v>1.0</v>
      </c>
      <c r="I6" s="10">
        <v>3.0</v>
      </c>
      <c r="J6" s="10">
        <v>1.0</v>
      </c>
      <c r="K6" s="10">
        <v>45.0</v>
      </c>
      <c r="L6" s="10">
        <v>17.34</v>
      </c>
      <c r="M6" s="10">
        <v>40.57</v>
      </c>
      <c r="N6" s="10">
        <v>49.01</v>
      </c>
      <c r="O6" s="10">
        <v>43.67</v>
      </c>
      <c r="P6" s="10">
        <v>-0.5</v>
      </c>
      <c r="Q6" s="10">
        <v>-6.06</v>
      </c>
      <c r="R6" s="10">
        <v>0.0</v>
      </c>
      <c r="S6" s="10">
        <v>4.0</v>
      </c>
      <c r="T6" s="10">
        <v>0.0</v>
      </c>
      <c r="U6" s="10">
        <v>1.0</v>
      </c>
      <c r="V6" s="10">
        <v>28.48</v>
      </c>
      <c r="W6" s="10">
        <v>49.64</v>
      </c>
      <c r="X6" s="10">
        <v>35.66</v>
      </c>
      <c r="Y6" s="10" t="s">
        <v>55</v>
      </c>
      <c r="AA6" s="10"/>
    </row>
    <row r="7">
      <c r="A7" s="10" t="s">
        <v>56</v>
      </c>
      <c r="B7" s="10">
        <v>98.0</v>
      </c>
      <c r="C7" s="10" t="s">
        <v>44</v>
      </c>
      <c r="D7" s="10" t="s">
        <v>50</v>
      </c>
      <c r="E7" s="10" t="s">
        <v>57</v>
      </c>
      <c r="F7" s="10" t="s">
        <v>58</v>
      </c>
      <c r="G7" s="10" t="s">
        <v>48</v>
      </c>
      <c r="H7" s="10">
        <v>2.0</v>
      </c>
      <c r="I7" s="10">
        <v>1.0</v>
      </c>
      <c r="J7" s="10">
        <v>1.0</v>
      </c>
      <c r="K7" s="10">
        <v>12.78</v>
      </c>
      <c r="L7" s="10" t="s">
        <v>59</v>
      </c>
      <c r="M7" s="10">
        <v>37.2</v>
      </c>
      <c r="N7" s="10">
        <v>41.37</v>
      </c>
      <c r="O7" s="10">
        <v>34.82</v>
      </c>
      <c r="P7" s="10">
        <v>-1.0</v>
      </c>
      <c r="Q7" s="10">
        <f>-6.64-1.28</f>
        <v>-7.92</v>
      </c>
      <c r="R7" s="10">
        <f>-1.33-1.28</f>
        <v>-2.61</v>
      </c>
      <c r="S7" s="10">
        <v>5.0</v>
      </c>
      <c r="T7" s="10">
        <v>0.0</v>
      </c>
      <c r="U7" s="10">
        <v>0.0</v>
      </c>
      <c r="V7" s="10">
        <v>23.99</v>
      </c>
      <c r="W7" s="10">
        <v>29.2</v>
      </c>
      <c r="X7" s="10">
        <v>25.33</v>
      </c>
      <c r="Y7" s="10" t="s">
        <v>61</v>
      </c>
      <c r="Z7" s="10"/>
      <c r="AA7" s="10"/>
    </row>
    <row r="8">
      <c r="A8" s="16">
        <v>42932.0</v>
      </c>
      <c r="B8" s="10">
        <v>98.0</v>
      </c>
      <c r="C8" s="10" t="s">
        <v>62</v>
      </c>
      <c r="D8" s="10" t="s">
        <v>48</v>
      </c>
      <c r="E8" s="10" t="s">
        <v>57</v>
      </c>
      <c r="F8" s="10" t="s">
        <v>63</v>
      </c>
      <c r="G8" s="10" t="s">
        <v>45</v>
      </c>
      <c r="H8" s="10">
        <v>1.0</v>
      </c>
      <c r="I8" s="10">
        <v>1.0</v>
      </c>
      <c r="J8" s="10">
        <v>1.0</v>
      </c>
      <c r="K8" s="10">
        <v>11.87</v>
      </c>
      <c r="L8" s="10" t="s">
        <v>64</v>
      </c>
      <c r="M8" s="10">
        <v>37.05</v>
      </c>
      <c r="N8" s="10">
        <v>42.34</v>
      </c>
      <c r="O8" s="10">
        <v>36.89</v>
      </c>
      <c r="P8" s="10">
        <v>-1.0</v>
      </c>
      <c r="Q8" s="10">
        <f>-5.66-1.21</f>
        <v>-6.87</v>
      </c>
      <c r="R8" s="10">
        <f>-1.01-1.21</f>
        <v>-2.22</v>
      </c>
      <c r="S8" s="10">
        <v>5.0</v>
      </c>
      <c r="T8" s="10">
        <v>0.0</v>
      </c>
      <c r="U8" s="10">
        <v>0.0</v>
      </c>
      <c r="V8">
        <f>23.75+1.21</f>
        <v>24.96</v>
      </c>
      <c r="W8" s="10">
        <v>35.93</v>
      </c>
      <c r="X8" s="10">
        <v>27.94</v>
      </c>
      <c r="Y8" s="10" t="s">
        <v>66</v>
      </c>
      <c r="Z8" s="10"/>
      <c r="AA8" s="10"/>
    </row>
    <row r="9">
      <c r="A9" s="16">
        <v>42932.0</v>
      </c>
      <c r="B9" s="10">
        <v>114.0</v>
      </c>
      <c r="C9" s="10" t="s">
        <v>44</v>
      </c>
      <c r="D9" s="10" t="s">
        <v>67</v>
      </c>
      <c r="E9" s="10" t="s">
        <v>57</v>
      </c>
      <c r="F9" s="10" t="s">
        <v>51</v>
      </c>
      <c r="G9" s="10" t="s">
        <v>45</v>
      </c>
      <c r="H9" s="10">
        <v>1.0</v>
      </c>
      <c r="I9" s="10">
        <v>3.0</v>
      </c>
      <c r="J9" s="10">
        <v>1.0</v>
      </c>
      <c r="K9" s="10">
        <v>37.17</v>
      </c>
      <c r="L9" s="10">
        <v>16.4</v>
      </c>
      <c r="M9" s="10">
        <v>47.0</v>
      </c>
      <c r="N9" s="10">
        <v>56.03</v>
      </c>
      <c r="O9" s="10">
        <v>51.53</v>
      </c>
      <c r="P9" s="10">
        <v>-0.5</v>
      </c>
      <c r="Q9" s="10">
        <f>-5.5-1.44</f>
        <v>-6.94</v>
      </c>
      <c r="R9" s="10">
        <v>0.0</v>
      </c>
      <c r="S9" s="10">
        <v>4.0</v>
      </c>
      <c r="T9" s="10">
        <v>0.0</v>
      </c>
      <c r="U9" s="10">
        <v>1.0</v>
      </c>
      <c r="V9" s="10">
        <v>32.18</v>
      </c>
      <c r="W9" s="10">
        <v>57.17</v>
      </c>
      <c r="X9" s="10">
        <v>43.51</v>
      </c>
      <c r="Y9" s="10">
        <v>0.75</v>
      </c>
      <c r="Z9" s="10"/>
      <c r="AA9" s="10"/>
    </row>
    <row r="10">
      <c r="A10" s="16">
        <v>42933.0</v>
      </c>
      <c r="B10" s="10">
        <v>98.0</v>
      </c>
      <c r="C10" s="10" t="s">
        <v>68</v>
      </c>
      <c r="D10" s="10" t="s">
        <v>69</v>
      </c>
      <c r="E10" s="10" t="s">
        <v>70</v>
      </c>
      <c r="F10" s="10" t="s">
        <v>71</v>
      </c>
      <c r="G10" s="10" t="s">
        <v>72</v>
      </c>
      <c r="H10" s="10">
        <v>4.0</v>
      </c>
      <c r="I10" s="10">
        <v>1.0</v>
      </c>
      <c r="J10" s="10">
        <v>1.0</v>
      </c>
      <c r="K10" s="10">
        <v>7.91</v>
      </c>
      <c r="L10" s="10" t="s">
        <v>74</v>
      </c>
      <c r="M10" s="10">
        <v>32.7</v>
      </c>
      <c r="N10" s="10">
        <v>40.38</v>
      </c>
      <c r="O10" s="10">
        <v>32.16</v>
      </c>
      <c r="P10" s="10">
        <v>-0.5</v>
      </c>
      <c r="Q10" s="10">
        <f>-4.62-1.04</f>
        <v>-5.66</v>
      </c>
      <c r="R10" s="10">
        <v>0.0</v>
      </c>
      <c r="S10" s="10">
        <v>4.0</v>
      </c>
      <c r="T10" s="10">
        <v>0.0</v>
      </c>
      <c r="U10" s="10">
        <v>1.0</v>
      </c>
      <c r="V10" s="10">
        <v>21.67</v>
      </c>
      <c r="W10" s="10">
        <v>36.45</v>
      </c>
      <c r="X10" s="10">
        <v>27.95</v>
      </c>
      <c r="Y10" s="10" t="s">
        <v>75</v>
      </c>
      <c r="Z10" s="10"/>
      <c r="AA10" s="10"/>
    </row>
    <row r="11">
      <c r="A11" s="16">
        <v>42938.0</v>
      </c>
      <c r="B11" s="10">
        <v>114.0</v>
      </c>
      <c r="H11" s="10">
        <v>1.0</v>
      </c>
      <c r="I11" s="10">
        <v>1.0</v>
      </c>
      <c r="J11" s="10">
        <v>1.0</v>
      </c>
      <c r="K11" s="10">
        <v>24.09</v>
      </c>
      <c r="L11" s="10">
        <v>11.65</v>
      </c>
      <c r="M11" s="10">
        <v>39.01</v>
      </c>
      <c r="N11" s="10">
        <v>51.36</v>
      </c>
      <c r="O11" s="10">
        <v>49.75</v>
      </c>
      <c r="P11" s="10">
        <v>-0.5</v>
      </c>
      <c r="Q11" s="10">
        <v>-7.16</v>
      </c>
      <c r="R11" s="10">
        <v>0.0</v>
      </c>
      <c r="S11" s="10">
        <v>4.0</v>
      </c>
      <c r="T11" s="10">
        <v>0.0</v>
      </c>
      <c r="U11" s="10">
        <v>1.0</v>
      </c>
      <c r="V11" s="10">
        <v>29.38</v>
      </c>
    </row>
    <row r="12">
      <c r="A12" s="16">
        <v>42954.0</v>
      </c>
      <c r="B12" s="10">
        <v>38.0</v>
      </c>
      <c r="C12" s="10" t="s">
        <v>44</v>
      </c>
      <c r="D12" s="10" t="s">
        <v>48</v>
      </c>
      <c r="E12" s="10" t="s">
        <v>46</v>
      </c>
      <c r="F12" s="10" t="s">
        <v>51</v>
      </c>
      <c r="G12" s="10" t="s">
        <v>76</v>
      </c>
      <c r="H12" s="10">
        <v>1.0</v>
      </c>
      <c r="I12" s="10">
        <v>1.0</v>
      </c>
      <c r="J12" s="10">
        <v>1.0</v>
      </c>
      <c r="K12" s="10">
        <v>17.72</v>
      </c>
      <c r="L12" s="10">
        <v>10.66</v>
      </c>
      <c r="M12" s="10">
        <v>31.07</v>
      </c>
      <c r="N12" s="10">
        <v>41.71</v>
      </c>
      <c r="O12" s="10">
        <v>37.53</v>
      </c>
      <c r="P12" s="10">
        <v>-0.5</v>
      </c>
      <c r="Q12" s="10">
        <v>-5.19</v>
      </c>
      <c r="R12" s="10">
        <v>-1.16</v>
      </c>
      <c r="S12" s="10">
        <v>5.0</v>
      </c>
      <c r="T12" s="10">
        <v>0.0</v>
      </c>
      <c r="U12" s="10">
        <v>0.0</v>
      </c>
      <c r="V12" s="10">
        <v>23.35</v>
      </c>
      <c r="W12" s="10">
        <v>35.71</v>
      </c>
      <c r="X12" s="10">
        <v>34.02</v>
      </c>
      <c r="Y12" s="10">
        <v>0.25</v>
      </c>
    </row>
    <row r="13">
      <c r="A13" s="16">
        <v>42973.0</v>
      </c>
      <c r="B13" s="10">
        <v>75.0</v>
      </c>
      <c r="C13" s="10" t="s">
        <v>44</v>
      </c>
      <c r="D13" s="10" t="s">
        <v>76</v>
      </c>
      <c r="E13" s="10" t="s">
        <v>77</v>
      </c>
      <c r="F13" s="10" t="s">
        <v>78</v>
      </c>
      <c r="G13" s="10" t="s">
        <v>79</v>
      </c>
      <c r="H13" s="10">
        <v>1.0</v>
      </c>
      <c r="I13" s="10">
        <v>1.0</v>
      </c>
      <c r="J13" s="10">
        <v>1.0</v>
      </c>
      <c r="K13" s="10">
        <v>29.9</v>
      </c>
      <c r="L13" s="10">
        <v>14.45</v>
      </c>
      <c r="M13" s="10">
        <v>41.65</v>
      </c>
      <c r="N13" s="10">
        <v>50.4</v>
      </c>
      <c r="O13" s="10">
        <v>45.35</v>
      </c>
      <c r="P13" s="10">
        <v>-0.5</v>
      </c>
      <c r="Q13" s="10">
        <v>-6.9</v>
      </c>
      <c r="R13" s="10">
        <v>-1.36</v>
      </c>
      <c r="S13" s="10">
        <v>5.0</v>
      </c>
      <c r="T13" s="10">
        <v>0.0</v>
      </c>
      <c r="U13" s="10">
        <v>0.0</v>
      </c>
      <c r="V13" s="10">
        <v>29.41</v>
      </c>
      <c r="W13" s="10">
        <v>35.03</v>
      </c>
      <c r="X13" s="10">
        <v>33.17</v>
      </c>
      <c r="Y13" s="10">
        <v>1.0</v>
      </c>
    </row>
    <row r="14">
      <c r="A14" s="17">
        <v>42984.0</v>
      </c>
      <c r="B14" s="10">
        <v>75.0</v>
      </c>
      <c r="C14" s="10" t="s">
        <v>62</v>
      </c>
      <c r="D14" s="10" t="s">
        <v>69</v>
      </c>
      <c r="E14" s="10" t="s">
        <v>80</v>
      </c>
      <c r="F14" s="10" t="s">
        <v>81</v>
      </c>
      <c r="G14" s="10" t="s">
        <v>80</v>
      </c>
      <c r="H14" s="10">
        <v>2.0</v>
      </c>
      <c r="I14" s="10">
        <v>2.0</v>
      </c>
      <c r="J14" s="10">
        <v>1.0</v>
      </c>
      <c r="K14" s="10">
        <v>39.89</v>
      </c>
      <c r="L14" s="10">
        <v>14.25</v>
      </c>
      <c r="M14" s="10">
        <v>45.05</v>
      </c>
      <c r="N14" s="10">
        <v>53.89</v>
      </c>
      <c r="O14" s="10">
        <v>47.52</v>
      </c>
      <c r="P14" s="10">
        <v>-1.0</v>
      </c>
      <c r="Q14" s="10">
        <v>-6.68</v>
      </c>
      <c r="R14" s="10">
        <v>-1.86</v>
      </c>
      <c r="S14" s="10">
        <v>5.0</v>
      </c>
      <c r="T14" s="10">
        <v>0.0</v>
      </c>
      <c r="U14" s="10">
        <v>0.0</v>
      </c>
      <c r="V14" s="10">
        <v>29.68</v>
      </c>
      <c r="W14" s="10">
        <v>35.38</v>
      </c>
      <c r="X14" s="10">
        <v>37.31</v>
      </c>
      <c r="Y14" s="10">
        <v>1.0</v>
      </c>
    </row>
    <row r="15">
      <c r="A15" s="16">
        <v>42991.0</v>
      </c>
      <c r="B15" s="10">
        <v>75.0</v>
      </c>
      <c r="C15" s="10" t="s">
        <v>44</v>
      </c>
      <c r="D15" s="10" t="s">
        <v>48</v>
      </c>
      <c r="E15" s="10" t="s">
        <v>77</v>
      </c>
      <c r="F15" s="10" t="s">
        <v>82</v>
      </c>
      <c r="G15" s="10" t="s">
        <v>77</v>
      </c>
      <c r="H15" s="10">
        <v>1.0</v>
      </c>
      <c r="I15" s="10">
        <v>2.0</v>
      </c>
      <c r="J15" s="10">
        <v>1.0</v>
      </c>
      <c r="K15">
        <f>23.5+12.35</f>
        <v>35.85</v>
      </c>
      <c r="L15" s="10">
        <v>11.05</v>
      </c>
      <c r="M15" s="10">
        <v>36.5</v>
      </c>
      <c r="N15" s="10">
        <v>47.26</v>
      </c>
      <c r="O15" s="10">
        <v>44.25</v>
      </c>
      <c r="P15" s="10">
        <v>-1.0</v>
      </c>
      <c r="Q15" s="10">
        <v>-7.24</v>
      </c>
      <c r="R15" s="10">
        <v>-1.51</v>
      </c>
      <c r="S15" s="10">
        <v>5.0</v>
      </c>
      <c r="T15" s="10">
        <v>0.0</v>
      </c>
      <c r="U15" s="10">
        <v>0.0</v>
      </c>
      <c r="V15" s="10">
        <v>27.27</v>
      </c>
      <c r="W15" s="10">
        <v>40.59</v>
      </c>
      <c r="X15" s="10">
        <v>40.17</v>
      </c>
      <c r="Y15" s="10">
        <v>1.0</v>
      </c>
    </row>
    <row r="16">
      <c r="A16" s="16">
        <v>43020.0</v>
      </c>
      <c r="B16" s="10">
        <v>53.0</v>
      </c>
      <c r="C16" s="10" t="s">
        <v>44</v>
      </c>
      <c r="D16" s="10" t="s">
        <v>48</v>
      </c>
      <c r="E16" s="10" t="s">
        <v>77</v>
      </c>
      <c r="F16" s="10" t="s">
        <v>51</v>
      </c>
      <c r="G16" s="10" t="s">
        <v>76</v>
      </c>
      <c r="H16" s="10">
        <v>1.0</v>
      </c>
      <c r="I16" s="10">
        <v>1.0</v>
      </c>
      <c r="J16" s="10">
        <v>1.0</v>
      </c>
      <c r="K16" s="10">
        <v>27.5</v>
      </c>
      <c r="L16" s="10">
        <v>6.45</v>
      </c>
      <c r="M16" s="10">
        <v>27.4</v>
      </c>
      <c r="N16" s="10">
        <v>36.17</v>
      </c>
      <c r="O16" s="10">
        <v>34.55</v>
      </c>
      <c r="P16" s="10">
        <v>-0.5</v>
      </c>
      <c r="Q16" s="10">
        <v>-4.41</v>
      </c>
      <c r="R16" s="10">
        <v>-1.11</v>
      </c>
      <c r="S16" s="10">
        <v>4.0</v>
      </c>
      <c r="T16" s="10">
        <v>0.0</v>
      </c>
      <c r="U16" s="10">
        <v>1.0</v>
      </c>
      <c r="V16" s="10">
        <v>20.13</v>
      </c>
      <c r="W16" s="10">
        <v>60.68</v>
      </c>
      <c r="X16" s="10">
        <v>54.64</v>
      </c>
      <c r="Y16" s="10">
        <v>0.0</v>
      </c>
    </row>
    <row r="17">
      <c r="A17" s="16">
        <v>43022.0</v>
      </c>
      <c r="B17" s="10">
        <v>53.0</v>
      </c>
      <c r="C17" s="10" t="s">
        <v>44</v>
      </c>
      <c r="D17" s="10" t="s">
        <v>48</v>
      </c>
      <c r="E17" s="10" t="s">
        <v>77</v>
      </c>
      <c r="F17" s="10" t="s">
        <v>51</v>
      </c>
      <c r="G17" s="10" t="s">
        <v>76</v>
      </c>
      <c r="H17" s="10">
        <v>2.0</v>
      </c>
      <c r="I17" s="10">
        <v>5.0</v>
      </c>
      <c r="J17" s="10">
        <v>1.0</v>
      </c>
      <c r="K17">
        <f>40.76+9.27</f>
        <v>50.03</v>
      </c>
      <c r="L17" s="10">
        <v>9.27</v>
      </c>
      <c r="M17" s="10">
        <v>28.79</v>
      </c>
      <c r="N17" s="10">
        <v>38.95</v>
      </c>
      <c r="O17" s="10">
        <v>34.85</v>
      </c>
      <c r="P17" s="10">
        <v>0.0</v>
      </c>
      <c r="Q17" s="10">
        <v>-4.37</v>
      </c>
      <c r="R17" s="10">
        <v>-0.93</v>
      </c>
      <c r="S17" s="10">
        <v>5.0</v>
      </c>
      <c r="T17" s="10">
        <v>0.0</v>
      </c>
      <c r="U17" s="10">
        <v>0.0</v>
      </c>
      <c r="V17" s="10">
        <v>20.86</v>
      </c>
      <c r="W17" s="10">
        <v>53.76</v>
      </c>
      <c r="X17" s="10">
        <v>50.67</v>
      </c>
      <c r="Y17" s="10">
        <v>0.0</v>
      </c>
    </row>
    <row r="18">
      <c r="A18" s="16">
        <v>43023.0</v>
      </c>
      <c r="B18" s="10">
        <v>53.0</v>
      </c>
      <c r="C18" s="10" t="s">
        <v>84</v>
      </c>
      <c r="D18" s="10" t="s">
        <v>69</v>
      </c>
      <c r="E18" s="10" t="s">
        <v>80</v>
      </c>
      <c r="F18" s="10" t="s">
        <v>71</v>
      </c>
      <c r="G18" s="10" t="s">
        <v>72</v>
      </c>
      <c r="H18" s="10">
        <v>1.0</v>
      </c>
      <c r="I18" s="10">
        <v>5.0</v>
      </c>
      <c r="J18" s="10">
        <v>1.0</v>
      </c>
      <c r="K18">
        <f>40.76+8.19</f>
        <v>48.95</v>
      </c>
      <c r="L18" s="10">
        <v>8.19</v>
      </c>
      <c r="M18" s="10">
        <v>24.33</v>
      </c>
      <c r="N18" s="10">
        <v>34.66</v>
      </c>
      <c r="O18" s="10">
        <v>32.15</v>
      </c>
      <c r="P18" s="10">
        <v>0.0</v>
      </c>
      <c r="Q18" s="10">
        <v>-7.72</v>
      </c>
      <c r="R18" s="10">
        <v>-1.14</v>
      </c>
      <c r="S18" s="10">
        <v>5.0</v>
      </c>
      <c r="T18" s="10">
        <v>0.0</v>
      </c>
      <c r="U18" s="10">
        <v>0.0</v>
      </c>
      <c r="V18" s="10">
        <v>20.41</v>
      </c>
      <c r="W18" s="10">
        <v>50.95</v>
      </c>
      <c r="X18" s="10">
        <v>47.95</v>
      </c>
      <c r="Y18" s="10">
        <v>0.0</v>
      </c>
    </row>
    <row r="19">
      <c r="A19" s="16">
        <v>43026.0</v>
      </c>
      <c r="B19" s="10">
        <v>33.0</v>
      </c>
      <c r="C19" s="10" t="s">
        <v>62</v>
      </c>
      <c r="D19" s="10" t="s">
        <v>69</v>
      </c>
      <c r="E19" s="10" t="s">
        <v>80</v>
      </c>
      <c r="F19" s="10" t="s">
        <v>86</v>
      </c>
      <c r="G19" s="10" t="s">
        <v>72</v>
      </c>
      <c r="H19" s="10">
        <v>1.0</v>
      </c>
      <c r="I19" s="10">
        <v>1.0</v>
      </c>
      <c r="J19" s="10">
        <v>1.0</v>
      </c>
      <c r="K19" s="10">
        <v>10.51</v>
      </c>
      <c r="L19" s="10">
        <v>5.53</v>
      </c>
      <c r="M19" s="10">
        <v>27.05</v>
      </c>
      <c r="N19" s="10">
        <v>36.9</v>
      </c>
      <c r="O19" s="10">
        <v>34.51</v>
      </c>
      <c r="P19" s="10">
        <v>0.0</v>
      </c>
      <c r="Q19" s="10">
        <v>-5.57</v>
      </c>
      <c r="R19" s="10">
        <v>-2.37</v>
      </c>
      <c r="S19" s="10">
        <v>5.0</v>
      </c>
      <c r="T19" s="10">
        <v>0.0</v>
      </c>
      <c r="U19" s="10">
        <v>0.0</v>
      </c>
      <c r="V19" s="10">
        <v>21.91</v>
      </c>
      <c r="W19" s="10">
        <v>26.93</v>
      </c>
      <c r="X19" s="10">
        <v>22.31</v>
      </c>
      <c r="Y19" s="10">
        <v>0.0</v>
      </c>
    </row>
    <row r="20">
      <c r="A20" s="16">
        <v>43027.0</v>
      </c>
      <c r="B20" s="10">
        <v>114.0</v>
      </c>
      <c r="C20" s="10" t="s">
        <v>62</v>
      </c>
      <c r="D20" s="10" t="s">
        <v>69</v>
      </c>
      <c r="E20" s="10" t="s">
        <v>80</v>
      </c>
      <c r="F20" s="10" t="s">
        <v>71</v>
      </c>
      <c r="G20" s="10" t="s">
        <v>80</v>
      </c>
      <c r="H20" s="10">
        <v>2.0</v>
      </c>
      <c r="I20" s="10">
        <v>1.0</v>
      </c>
      <c r="J20" s="10">
        <v>1.0</v>
      </c>
      <c r="K20" s="10">
        <v>22.46</v>
      </c>
      <c r="L20" s="10">
        <v>9.05</v>
      </c>
      <c r="M20" s="10">
        <v>34.2</v>
      </c>
      <c r="N20" s="10">
        <v>46.09</v>
      </c>
      <c r="O20" s="10">
        <v>45.09</v>
      </c>
      <c r="P20" s="10">
        <v>-0.5</v>
      </c>
      <c r="Q20" s="10">
        <v>-6.58</v>
      </c>
      <c r="R20" s="10">
        <v>0.0</v>
      </c>
      <c r="S20" s="10">
        <v>4.0</v>
      </c>
      <c r="T20" s="10">
        <v>0.0</v>
      </c>
      <c r="U20" s="10">
        <v>1.0</v>
      </c>
      <c r="V20" s="10">
        <v>28.96</v>
      </c>
      <c r="W20" s="10">
        <v>49.79</v>
      </c>
      <c r="X20" s="10">
        <v>47.37</v>
      </c>
      <c r="Y20" s="10">
        <v>1.0</v>
      </c>
    </row>
    <row r="21">
      <c r="B21" s="10" t="s">
        <v>87</v>
      </c>
      <c r="C21" s="10" t="s">
        <v>62</v>
      </c>
      <c r="D21" s="10" t="s">
        <v>69</v>
      </c>
      <c r="E21" s="10" t="s">
        <v>88</v>
      </c>
      <c r="F21" s="10" t="s">
        <v>71</v>
      </c>
      <c r="G21" s="10" t="s">
        <v>72</v>
      </c>
      <c r="H21" s="10">
        <v>1.0</v>
      </c>
      <c r="I21" s="10">
        <v>1.0</v>
      </c>
      <c r="J21" s="10">
        <v>1.0</v>
      </c>
      <c r="K21" s="10">
        <v>21.12</v>
      </c>
      <c r="L21" s="10">
        <v>8.79</v>
      </c>
      <c r="M21" s="10">
        <v>37.38</v>
      </c>
      <c r="N21" s="10">
        <v>48.61</v>
      </c>
      <c r="O21" s="10">
        <v>43.81</v>
      </c>
      <c r="P21" s="10">
        <v>0.0</v>
      </c>
      <c r="Q21" s="10">
        <v>-6.22</v>
      </c>
      <c r="R21" s="10">
        <v>-1.28</v>
      </c>
      <c r="S21" s="10">
        <v>5.0</v>
      </c>
      <c r="T21" s="10">
        <v>0.0</v>
      </c>
      <c r="U21" s="10">
        <v>0.0</v>
      </c>
      <c r="V21" s="10">
        <v>27.61</v>
      </c>
      <c r="W21" s="10">
        <v>63.54</v>
      </c>
      <c r="X21" s="10">
        <v>50.06</v>
      </c>
      <c r="Y21" s="10">
        <v>0.0</v>
      </c>
    </row>
    <row r="22">
      <c r="A22" s="16">
        <v>43032.0</v>
      </c>
      <c r="B22" s="10">
        <v>35.0</v>
      </c>
      <c r="C22" s="10" t="s">
        <v>44</v>
      </c>
      <c r="D22" s="10" t="s">
        <v>48</v>
      </c>
      <c r="E22" s="10" t="s">
        <v>77</v>
      </c>
      <c r="F22" s="10" t="s">
        <v>51</v>
      </c>
      <c r="G22" s="10" t="s">
        <v>76</v>
      </c>
      <c r="H22" s="10">
        <v>2.0</v>
      </c>
      <c r="I22" s="10">
        <v>1.0</v>
      </c>
      <c r="J22" s="10">
        <v>1.0</v>
      </c>
      <c r="K22">
        <f>6.2+5.7</f>
        <v>11.9</v>
      </c>
      <c r="L22" s="10">
        <v>5.7</v>
      </c>
      <c r="M22" s="10">
        <v>33.49</v>
      </c>
      <c r="N22" s="10">
        <v>44.01</v>
      </c>
      <c r="O22" s="10">
        <v>41.8</v>
      </c>
      <c r="P22" s="10">
        <v>0.0</v>
      </c>
      <c r="Q22" s="10">
        <v>-7.34</v>
      </c>
      <c r="R22" s="10">
        <v>-3.39</v>
      </c>
      <c r="S22" s="10">
        <v>5.0</v>
      </c>
      <c r="T22" s="10">
        <v>0.0</v>
      </c>
      <c r="U22" s="10">
        <v>0.0</v>
      </c>
      <c r="V22" s="10">
        <v>27.75</v>
      </c>
      <c r="W22" s="10">
        <v>40.1</v>
      </c>
      <c r="X22" s="10">
        <v>31.34</v>
      </c>
      <c r="Y22" s="10">
        <v>0.0</v>
      </c>
      <c r="AA22" s="10" t="s">
        <v>90</v>
      </c>
    </row>
    <row r="23">
      <c r="A23" s="16">
        <v>43033.0</v>
      </c>
      <c r="B23" s="10">
        <v>35.0</v>
      </c>
      <c r="C23" s="10" t="s">
        <v>62</v>
      </c>
      <c r="D23" s="10" t="s">
        <v>69</v>
      </c>
      <c r="E23" s="10" t="s">
        <v>80</v>
      </c>
      <c r="F23" s="10" t="s">
        <v>71</v>
      </c>
      <c r="G23" s="10" t="s">
        <v>72</v>
      </c>
      <c r="H23" s="10">
        <v>1.0</v>
      </c>
      <c r="I23" s="10">
        <v>1.0</v>
      </c>
      <c r="J23" s="10">
        <v>1.0</v>
      </c>
      <c r="K23" s="10">
        <v>13.05</v>
      </c>
      <c r="L23" s="10">
        <v>5.6</v>
      </c>
      <c r="M23" s="10">
        <v>31.49</v>
      </c>
      <c r="N23" s="10">
        <v>42.94</v>
      </c>
      <c r="O23" s="10">
        <v>39.23</v>
      </c>
      <c r="P23" s="10">
        <v>0.0</v>
      </c>
      <c r="Q23" s="10">
        <v>-7.44</v>
      </c>
      <c r="R23" s="10">
        <v>-2.89</v>
      </c>
      <c r="S23" s="10">
        <v>5.0</v>
      </c>
      <c r="T23" s="10">
        <v>0.0</v>
      </c>
      <c r="U23" s="10">
        <v>0.0</v>
      </c>
      <c r="V23" s="10">
        <v>26.24</v>
      </c>
      <c r="W23" s="10">
        <v>43.29</v>
      </c>
      <c r="X23" s="10">
        <v>36.4</v>
      </c>
      <c r="Y23" s="10">
        <v>0.0</v>
      </c>
    </row>
    <row r="24">
      <c r="A24" s="16">
        <v>43034.0</v>
      </c>
      <c r="B24" s="10">
        <v>95.0</v>
      </c>
      <c r="C24" s="10" t="s">
        <v>62</v>
      </c>
      <c r="D24" s="10" t="s">
        <v>69</v>
      </c>
      <c r="E24" s="10" t="s">
        <v>80</v>
      </c>
      <c r="F24" s="10" t="s">
        <v>71</v>
      </c>
      <c r="G24" s="10" t="s">
        <v>72</v>
      </c>
      <c r="H24" s="10">
        <v>2.0</v>
      </c>
      <c r="I24" s="10">
        <v>1.0</v>
      </c>
      <c r="J24" s="10">
        <v>1.0</v>
      </c>
      <c r="K24">
        <f>13.68+8.37</f>
        <v>22.05</v>
      </c>
      <c r="L24" s="10">
        <v>8.37</v>
      </c>
      <c r="M24" s="10">
        <v>27.65</v>
      </c>
      <c r="N24" s="10">
        <v>40.77</v>
      </c>
      <c r="O24" s="10">
        <v>37.71</v>
      </c>
      <c r="P24" s="10">
        <v>0.0</v>
      </c>
      <c r="Q24" s="10">
        <v>-6.22</v>
      </c>
      <c r="R24" s="10">
        <v>-2.01</v>
      </c>
      <c r="S24" s="10">
        <v>5.0</v>
      </c>
      <c r="T24" s="10">
        <v>0.0</v>
      </c>
      <c r="U24" s="10">
        <v>0.0</v>
      </c>
      <c r="V24" s="10">
        <v>23.29</v>
      </c>
      <c r="W24" s="10">
        <v>35.53</v>
      </c>
      <c r="X24" s="10">
        <v>28.28</v>
      </c>
      <c r="Y24" s="10">
        <v>0.0</v>
      </c>
      <c r="AA24" s="10" t="s">
        <v>91</v>
      </c>
    </row>
    <row r="25">
      <c r="A25" s="16">
        <v>43036.0</v>
      </c>
      <c r="B25" s="10">
        <v>95.0</v>
      </c>
      <c r="C25" s="8" t="s">
        <v>62</v>
      </c>
      <c r="D25" s="8" t="s">
        <v>69</v>
      </c>
      <c r="E25" s="8" t="s">
        <v>80</v>
      </c>
      <c r="F25" s="8" t="s">
        <v>71</v>
      </c>
      <c r="G25" s="8" t="s">
        <v>72</v>
      </c>
      <c r="H25" s="10">
        <v>1.0</v>
      </c>
      <c r="I25" s="10">
        <v>1.0</v>
      </c>
      <c r="J25" s="10">
        <v>1.0</v>
      </c>
      <c r="K25" s="10">
        <v>22.75</v>
      </c>
      <c r="L25" s="10">
        <v>7.25</v>
      </c>
      <c r="M25" s="10">
        <v>34.49</v>
      </c>
      <c r="N25" s="10">
        <v>41.63</v>
      </c>
      <c r="O25" s="10">
        <v>41.3</v>
      </c>
      <c r="P25" s="10">
        <v>0.0</v>
      </c>
      <c r="Q25" s="10">
        <v>-6.31</v>
      </c>
      <c r="R25" s="10">
        <v>-2.48</v>
      </c>
      <c r="S25" s="10">
        <v>5.0</v>
      </c>
      <c r="T25" s="10">
        <v>0.0</v>
      </c>
      <c r="U25" s="10">
        <v>0.0</v>
      </c>
      <c r="V25" s="10">
        <v>24.35</v>
      </c>
      <c r="W25" s="10">
        <v>44.29</v>
      </c>
      <c r="X25" s="10">
        <v>35.93</v>
      </c>
      <c r="Y25" s="10">
        <v>0.0</v>
      </c>
      <c r="AA25" s="10" t="s">
        <v>92</v>
      </c>
    </row>
    <row r="26">
      <c r="A26" s="16">
        <v>43038.0</v>
      </c>
      <c r="B26" s="10">
        <v>95.0</v>
      </c>
      <c r="C26" s="8"/>
      <c r="D26" s="8"/>
      <c r="E26" s="8"/>
      <c r="F26" s="8"/>
      <c r="G26" s="8"/>
      <c r="H26" s="10">
        <v>2.0</v>
      </c>
      <c r="I26" s="10">
        <v>1.0</v>
      </c>
      <c r="J26" s="10">
        <v>1.0</v>
      </c>
      <c r="K26" s="10">
        <v>17.95</v>
      </c>
      <c r="L26" s="10">
        <v>3.79</v>
      </c>
      <c r="M26" s="10">
        <v>29.2</v>
      </c>
      <c r="N26" s="10">
        <v>38.17</v>
      </c>
      <c r="O26" s="10">
        <v>36.78</v>
      </c>
      <c r="P26" s="10">
        <v>0.0</v>
      </c>
      <c r="Q26" s="10">
        <v>-5.94</v>
      </c>
      <c r="R26" s="10">
        <v>-2.78</v>
      </c>
      <c r="S26" s="10">
        <v>5.0</v>
      </c>
      <c r="T26" s="10">
        <v>0.0</v>
      </c>
      <c r="U26" s="10">
        <v>0.0</v>
      </c>
      <c r="V26" s="10">
        <v>23.16</v>
      </c>
      <c r="W26" s="10">
        <v>41.95</v>
      </c>
      <c r="X26" s="10">
        <v>30.66</v>
      </c>
      <c r="Y26" s="10">
        <v>0.0</v>
      </c>
      <c r="AA26" s="10" t="s">
        <v>91</v>
      </c>
    </row>
    <row r="27">
      <c r="A27" s="16">
        <v>43064.0</v>
      </c>
      <c r="B27" s="10">
        <v>109.0</v>
      </c>
      <c r="C27" s="10" t="s">
        <v>80</v>
      </c>
      <c r="D27" s="10" t="s">
        <v>69</v>
      </c>
      <c r="E27" s="10" t="s">
        <v>80</v>
      </c>
      <c r="F27" s="10" t="s">
        <v>71</v>
      </c>
      <c r="G27" s="10" t="s">
        <v>80</v>
      </c>
      <c r="H27" s="10">
        <v>1.0</v>
      </c>
      <c r="I27" s="10">
        <v>3.0</v>
      </c>
      <c r="J27" s="10">
        <v>1.0</v>
      </c>
      <c r="K27" s="10">
        <v>23.65</v>
      </c>
      <c r="L27" s="10">
        <v>8.16</v>
      </c>
      <c r="M27" s="10">
        <v>24.57</v>
      </c>
      <c r="N27" s="10">
        <v>28.81</v>
      </c>
      <c r="O27" s="10">
        <v>28.53</v>
      </c>
      <c r="P27" s="10">
        <v>0.0</v>
      </c>
      <c r="Q27" s="10">
        <v>-3.38</v>
      </c>
      <c r="R27" s="10">
        <v>0.0</v>
      </c>
      <c r="S27" s="10">
        <v>3.0</v>
      </c>
      <c r="T27" s="10">
        <v>0.0</v>
      </c>
      <c r="U27" s="10">
        <v>2.0</v>
      </c>
      <c r="V27" s="10">
        <v>19.35</v>
      </c>
      <c r="W27" s="10">
        <v>38.06</v>
      </c>
      <c r="X27" s="10">
        <v>42.02</v>
      </c>
      <c r="Y27" s="10">
        <v>0.0</v>
      </c>
    </row>
    <row r="28">
      <c r="A28" s="16">
        <v>43067.0</v>
      </c>
      <c r="B28" s="10">
        <v>138.0</v>
      </c>
      <c r="C28" s="10" t="s">
        <v>77</v>
      </c>
      <c r="D28" s="10" t="s">
        <v>77</v>
      </c>
      <c r="E28" s="10" t="s">
        <v>77</v>
      </c>
      <c r="F28" s="10" t="s">
        <v>95</v>
      </c>
      <c r="G28" s="10" t="s">
        <v>77</v>
      </c>
      <c r="H28" s="10">
        <v>2.0</v>
      </c>
      <c r="I28" s="10">
        <v>5.0</v>
      </c>
      <c r="J28" s="10">
        <v>1.0</v>
      </c>
      <c r="K28" s="10">
        <v>30.28</v>
      </c>
      <c r="L28" s="10">
        <v>6.87</v>
      </c>
      <c r="M28" s="10">
        <v>14.39</v>
      </c>
      <c r="N28" s="10">
        <v>18.01</v>
      </c>
      <c r="O28" s="10">
        <v>15.77</v>
      </c>
      <c r="P28" s="10">
        <v>0.0</v>
      </c>
      <c r="Q28" s="10">
        <v>-0.98</v>
      </c>
      <c r="R28" s="10">
        <v>0.0</v>
      </c>
      <c r="S28" s="10">
        <v>3.0</v>
      </c>
      <c r="T28" s="10">
        <v>0.0</v>
      </c>
      <c r="U28" s="10">
        <v>2.0</v>
      </c>
      <c r="V28" s="10">
        <v>11.73</v>
      </c>
      <c r="W28" s="10">
        <v>34.2</v>
      </c>
      <c r="X28" s="10">
        <v>41.49</v>
      </c>
      <c r="Y28" s="10">
        <v>0.0</v>
      </c>
    </row>
    <row r="29">
      <c r="A29" s="16">
        <v>43069.0</v>
      </c>
      <c r="B29" s="10">
        <v>109.0</v>
      </c>
      <c r="C29" s="10" t="s">
        <v>77</v>
      </c>
      <c r="D29" s="10" t="s">
        <v>48</v>
      </c>
      <c r="E29" s="10" t="s">
        <v>77</v>
      </c>
      <c r="F29" s="10" t="s">
        <v>71</v>
      </c>
      <c r="G29" s="10" t="s">
        <v>80</v>
      </c>
      <c r="H29" s="10">
        <v>1.0</v>
      </c>
      <c r="I29" s="10">
        <v>3.0</v>
      </c>
      <c r="J29" s="10">
        <v>1.0</v>
      </c>
      <c r="K29" s="10">
        <v>30.03</v>
      </c>
      <c r="L29" s="10">
        <v>4.36</v>
      </c>
      <c r="M29" s="10">
        <v>27.96</v>
      </c>
      <c r="N29" s="10">
        <v>34.32</v>
      </c>
      <c r="O29" s="10">
        <v>29.56</v>
      </c>
      <c r="P29" s="10">
        <v>0.0</v>
      </c>
      <c r="Q29" s="10">
        <v>-3.26</v>
      </c>
      <c r="R29" s="10">
        <v>0.0</v>
      </c>
      <c r="S29" s="10">
        <v>3.0</v>
      </c>
      <c r="T29" s="10">
        <v>0.0</v>
      </c>
      <c r="U29" s="10">
        <v>2.0</v>
      </c>
      <c r="V29" s="10">
        <v>20.57</v>
      </c>
      <c r="W29" s="10">
        <v>33.77</v>
      </c>
      <c r="X29" s="10">
        <v>38.79</v>
      </c>
      <c r="Y29" s="10">
        <v>0.0</v>
      </c>
    </row>
    <row r="30">
      <c r="A30" s="16">
        <v>43108.0</v>
      </c>
      <c r="B30" s="10">
        <v>72.0</v>
      </c>
      <c r="C30" s="10" t="s">
        <v>96</v>
      </c>
      <c r="D30" s="10" t="s">
        <v>77</v>
      </c>
      <c r="E30" s="10" t="s">
        <v>96</v>
      </c>
      <c r="F30" s="10" t="s">
        <v>97</v>
      </c>
      <c r="G30" s="10" t="s">
        <v>77</v>
      </c>
      <c r="H30" s="10">
        <v>1.0</v>
      </c>
      <c r="I30" s="10">
        <v>1.0</v>
      </c>
      <c r="J30" s="10">
        <v>1.0</v>
      </c>
      <c r="K30" s="10">
        <v>18.8</v>
      </c>
      <c r="L30" s="10">
        <v>14.05</v>
      </c>
      <c r="M30" s="10">
        <v>25.89</v>
      </c>
      <c r="N30" s="10">
        <v>31.71</v>
      </c>
      <c r="O30" s="10">
        <v>28.77</v>
      </c>
      <c r="P30" s="10">
        <v>0.0</v>
      </c>
      <c r="Q30" s="10">
        <v>-2.83</v>
      </c>
      <c r="R30" s="10">
        <v>0.0</v>
      </c>
      <c r="S30" s="10">
        <v>3.0</v>
      </c>
      <c r="T30" s="10">
        <v>0.0</v>
      </c>
      <c r="U30" s="10">
        <v>2.0</v>
      </c>
      <c r="V30" s="10">
        <v>17.92</v>
      </c>
      <c r="W30" s="10">
        <v>26.48</v>
      </c>
      <c r="X30" s="10">
        <v>26.37</v>
      </c>
      <c r="Y30" s="10">
        <v>0.0</v>
      </c>
      <c r="AA30" s="10" t="s">
        <v>90</v>
      </c>
    </row>
    <row r="31">
      <c r="A31" s="20">
        <v>371831.0</v>
      </c>
      <c r="B31" s="10">
        <v>72.0</v>
      </c>
      <c r="C31" s="10" t="s">
        <v>98</v>
      </c>
      <c r="D31" s="10" t="s">
        <v>48</v>
      </c>
      <c r="E31" s="10" t="s">
        <v>96</v>
      </c>
      <c r="F31" s="10" t="s">
        <v>51</v>
      </c>
      <c r="G31" s="10" t="s">
        <v>77</v>
      </c>
      <c r="H31" s="10">
        <v>1.0</v>
      </c>
      <c r="I31" s="10">
        <v>2.0</v>
      </c>
      <c r="J31" s="10">
        <v>1.0</v>
      </c>
      <c r="K31" s="10">
        <v>20.91</v>
      </c>
      <c r="L31" s="10">
        <v>7.62</v>
      </c>
      <c r="M31" s="10">
        <v>26.68</v>
      </c>
      <c r="N31" s="10">
        <v>33.63</v>
      </c>
      <c r="O31" s="10">
        <v>33.28</v>
      </c>
      <c r="P31" s="10">
        <v>0.0</v>
      </c>
      <c r="Q31" s="10">
        <v>-5.15</v>
      </c>
      <c r="R31" s="10">
        <v>0.0</v>
      </c>
      <c r="S31" s="10">
        <v>4.0</v>
      </c>
      <c r="T31" s="10">
        <v>0.0</v>
      </c>
      <c r="U31" s="10">
        <v>1.0</v>
      </c>
      <c r="V31" s="10">
        <v>20.52</v>
      </c>
      <c r="W31" s="10">
        <v>38.63</v>
      </c>
      <c r="X31" s="10">
        <v>31.97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2" t="s">
        <v>8</v>
      </c>
      <c r="B1" s="12" t="s">
        <v>11</v>
      </c>
      <c r="C1" s="12" t="s">
        <v>21</v>
      </c>
      <c r="D1" s="12" t="s">
        <v>22</v>
      </c>
      <c r="E1" s="12" t="s">
        <v>23</v>
      </c>
      <c r="F1" s="12" t="s">
        <v>24</v>
      </c>
      <c r="G1" s="12" t="s">
        <v>25</v>
      </c>
      <c r="H1" s="12" t="s">
        <v>26</v>
      </c>
      <c r="I1" s="12" t="s">
        <v>27</v>
      </c>
      <c r="J1" s="12" t="s">
        <v>28</v>
      </c>
      <c r="K1" s="12" t="s">
        <v>29</v>
      </c>
      <c r="L1" s="12" t="s">
        <v>30</v>
      </c>
      <c r="M1" s="12" t="s">
        <v>14</v>
      </c>
      <c r="N1" s="12" t="s">
        <v>31</v>
      </c>
      <c r="O1" s="12" t="s">
        <v>32</v>
      </c>
      <c r="P1" s="12" t="s">
        <v>33</v>
      </c>
      <c r="Q1" s="12" t="s">
        <v>34</v>
      </c>
      <c r="R1" s="12" t="s">
        <v>35</v>
      </c>
      <c r="S1" s="12" t="s">
        <v>36</v>
      </c>
      <c r="T1" s="12" t="s">
        <v>37</v>
      </c>
      <c r="U1" s="12" t="s">
        <v>38</v>
      </c>
      <c r="V1" s="12" t="s">
        <v>39</v>
      </c>
      <c r="W1" s="12" t="s">
        <v>40</v>
      </c>
      <c r="X1" s="12" t="s">
        <v>41</v>
      </c>
      <c r="Y1" s="12" t="s">
        <v>42</v>
      </c>
      <c r="Z1" s="10" t="s">
        <v>43</v>
      </c>
    </row>
    <row r="2">
      <c r="A2" s="16">
        <v>42954.0</v>
      </c>
      <c r="B2" s="10">
        <v>122.0</v>
      </c>
      <c r="C2" s="10" t="s">
        <v>62</v>
      </c>
      <c r="D2" s="10" t="s">
        <v>111</v>
      </c>
      <c r="E2" s="10" t="s">
        <v>111</v>
      </c>
      <c r="G2" s="10" t="s">
        <v>80</v>
      </c>
      <c r="H2" s="10">
        <v>2.0</v>
      </c>
      <c r="I2" s="10">
        <v>2.0</v>
      </c>
      <c r="J2" s="10">
        <v>1.0</v>
      </c>
      <c r="K2" s="10">
        <v>31.47</v>
      </c>
      <c r="L2" s="10">
        <v>2.82</v>
      </c>
      <c r="M2" s="10">
        <v>18.07</v>
      </c>
      <c r="N2" s="10">
        <v>20.05</v>
      </c>
      <c r="O2" s="10">
        <v>16.93</v>
      </c>
      <c r="P2" s="10">
        <v>0.0</v>
      </c>
      <c r="Q2" s="10">
        <v>-1.86</v>
      </c>
      <c r="R2" s="10">
        <v>0.0</v>
      </c>
      <c r="S2" s="10">
        <v>2.0</v>
      </c>
      <c r="T2" s="10">
        <v>0.0</v>
      </c>
      <c r="U2" s="10">
        <v>3.0</v>
      </c>
      <c r="V2" s="10">
        <v>11.9</v>
      </c>
      <c r="W2" s="10">
        <v>51.16</v>
      </c>
      <c r="X2" s="10">
        <v>51.03</v>
      </c>
      <c r="Y2" s="10">
        <v>0.0</v>
      </c>
    </row>
    <row r="3">
      <c r="A3" s="16">
        <v>42954.0</v>
      </c>
      <c r="B3" s="10">
        <v>120.0</v>
      </c>
      <c r="C3" s="10" t="s">
        <v>62</v>
      </c>
      <c r="D3" s="10" t="s">
        <v>69</v>
      </c>
      <c r="E3" s="10" t="s">
        <v>111</v>
      </c>
      <c r="F3" s="10" t="s">
        <v>71</v>
      </c>
      <c r="G3" s="10" t="s">
        <v>69</v>
      </c>
      <c r="H3" s="10">
        <v>4.0</v>
      </c>
      <c r="I3" s="10">
        <v>5.0</v>
      </c>
      <c r="J3" s="10">
        <v>1.0</v>
      </c>
      <c r="K3" s="10">
        <v>48.81</v>
      </c>
      <c r="L3" s="10">
        <v>5.29</v>
      </c>
      <c r="M3" s="10">
        <v>18.63</v>
      </c>
      <c r="N3" s="10">
        <v>19.17</v>
      </c>
      <c r="O3" s="10">
        <v>15.74</v>
      </c>
      <c r="P3" s="10">
        <v>0.0</v>
      </c>
      <c r="Q3" s="10">
        <v>-1.45</v>
      </c>
      <c r="R3" s="10">
        <v>0.0</v>
      </c>
      <c r="S3" s="10">
        <v>2.0</v>
      </c>
      <c r="T3" s="10">
        <v>0.0</v>
      </c>
      <c r="U3" s="10">
        <v>3.0</v>
      </c>
      <c r="V3" s="10">
        <v>11.29</v>
      </c>
      <c r="W3" s="10">
        <v>41.76</v>
      </c>
      <c r="X3" s="10">
        <v>41.86</v>
      </c>
      <c r="Y3" s="10">
        <v>0.0</v>
      </c>
    </row>
    <row r="4">
      <c r="A4" s="16">
        <v>42954.0</v>
      </c>
      <c r="B4" s="10">
        <v>128.0</v>
      </c>
      <c r="C4" s="10" t="s">
        <v>62</v>
      </c>
      <c r="D4" s="10" t="s">
        <v>69</v>
      </c>
      <c r="E4" s="10" t="s">
        <v>111</v>
      </c>
      <c r="F4" s="10" t="s">
        <v>71</v>
      </c>
      <c r="G4" s="10" t="s">
        <v>69</v>
      </c>
      <c r="H4" s="10">
        <v>18.0</v>
      </c>
      <c r="I4" s="10">
        <v>8.0</v>
      </c>
      <c r="J4" s="10">
        <v>1.0</v>
      </c>
      <c r="K4" s="10">
        <v>74.78</v>
      </c>
      <c r="L4" s="10">
        <v>9.35</v>
      </c>
      <c r="M4" s="10">
        <v>18.95</v>
      </c>
      <c r="N4" s="10">
        <v>21.88</v>
      </c>
      <c r="O4" s="10">
        <v>20.57</v>
      </c>
      <c r="P4" s="10">
        <v>0.0</v>
      </c>
      <c r="Q4" s="10" t="s">
        <v>114</v>
      </c>
      <c r="R4" s="10">
        <v>0.0</v>
      </c>
      <c r="S4" s="10">
        <v>1.0</v>
      </c>
      <c r="T4" s="10">
        <v>2.0</v>
      </c>
      <c r="U4" s="10">
        <v>2.0</v>
      </c>
      <c r="V4" s="10">
        <v>11.42</v>
      </c>
      <c r="W4" s="10">
        <v>47.95</v>
      </c>
      <c r="X4" s="10">
        <v>52.08</v>
      </c>
      <c r="Y4" s="10">
        <v>0.0</v>
      </c>
    </row>
    <row r="5">
      <c r="A5" s="16">
        <v>42954.0</v>
      </c>
      <c r="B5" s="10">
        <v>129.0</v>
      </c>
      <c r="C5" s="10" t="s">
        <v>62</v>
      </c>
      <c r="D5" s="10" t="s">
        <v>69</v>
      </c>
      <c r="E5" s="10" t="s">
        <v>111</v>
      </c>
      <c r="F5" s="10" t="s">
        <v>71</v>
      </c>
      <c r="G5" s="10" t="s">
        <v>69</v>
      </c>
      <c r="H5" s="10">
        <v>2.0</v>
      </c>
      <c r="I5" s="10">
        <v>6.0</v>
      </c>
      <c r="J5" s="10">
        <v>1.0</v>
      </c>
      <c r="K5" s="10">
        <v>83.26</v>
      </c>
      <c r="L5" s="10">
        <v>8.6</v>
      </c>
      <c r="M5" s="10">
        <v>18.49</v>
      </c>
      <c r="N5" s="10">
        <v>21.32</v>
      </c>
      <c r="O5" s="10">
        <v>19.72</v>
      </c>
      <c r="P5" s="10">
        <v>0.0</v>
      </c>
      <c r="Q5" s="10">
        <v>-1.23</v>
      </c>
      <c r="R5" s="10">
        <v>0.0</v>
      </c>
      <c r="S5" s="10">
        <v>2.0</v>
      </c>
      <c r="T5" s="10">
        <v>1.0</v>
      </c>
      <c r="U5" s="10">
        <v>2.0</v>
      </c>
      <c r="V5" s="10">
        <v>11.47</v>
      </c>
      <c r="W5" s="10">
        <v>57.78</v>
      </c>
      <c r="X5" s="10">
        <v>63.88</v>
      </c>
      <c r="Y5" s="10">
        <v>0.0</v>
      </c>
    </row>
    <row r="6">
      <c r="A6" s="16">
        <v>42954.0</v>
      </c>
      <c r="B6" s="10">
        <v>130.0</v>
      </c>
      <c r="C6" s="10" t="s">
        <v>62</v>
      </c>
      <c r="D6" s="10" t="s">
        <v>69</v>
      </c>
      <c r="E6" s="10" t="s">
        <v>111</v>
      </c>
      <c r="F6" s="10" t="s">
        <v>71</v>
      </c>
      <c r="G6" s="10" t="s">
        <v>69</v>
      </c>
      <c r="H6" s="10">
        <v>4.0</v>
      </c>
      <c r="I6" s="10">
        <v>5.0</v>
      </c>
      <c r="J6" s="10">
        <v>1.0</v>
      </c>
      <c r="K6" s="10">
        <v>53.96</v>
      </c>
      <c r="L6" s="10">
        <v>8.52</v>
      </c>
      <c r="M6" s="10">
        <v>17.52</v>
      </c>
      <c r="N6" s="10">
        <v>19.53</v>
      </c>
      <c r="O6" s="10">
        <v>16.4</v>
      </c>
      <c r="P6" s="10">
        <v>0.0</v>
      </c>
      <c r="Q6" s="10">
        <v>-1.48</v>
      </c>
      <c r="R6" s="10">
        <v>0.0</v>
      </c>
      <c r="S6" s="10">
        <v>2.0</v>
      </c>
      <c r="T6" s="10">
        <v>1.0</v>
      </c>
      <c r="U6" s="10">
        <v>2.0</v>
      </c>
      <c r="V6" s="10">
        <v>11.35</v>
      </c>
      <c r="W6" s="10">
        <v>51.77</v>
      </c>
      <c r="X6" s="10">
        <v>57.27</v>
      </c>
      <c r="Y6" s="10">
        <v>0.0</v>
      </c>
    </row>
    <row r="7">
      <c r="A7" s="16">
        <v>42954.0</v>
      </c>
      <c r="B7" s="10">
        <v>132.0</v>
      </c>
      <c r="C7" s="10" t="s">
        <v>62</v>
      </c>
      <c r="D7" s="10" t="s">
        <v>69</v>
      </c>
      <c r="E7" s="10" t="s">
        <v>111</v>
      </c>
      <c r="F7" s="10" t="s">
        <v>71</v>
      </c>
      <c r="G7" s="10" t="s">
        <v>69</v>
      </c>
      <c r="H7" s="10">
        <v>5.0</v>
      </c>
      <c r="I7" s="10">
        <v>9.0</v>
      </c>
      <c r="J7" s="10">
        <v>1.0</v>
      </c>
      <c r="K7">
        <f>80+35.87</f>
        <v>115.87</v>
      </c>
      <c r="L7" s="10">
        <v>10.6</v>
      </c>
      <c r="M7" s="10">
        <v>17.77</v>
      </c>
      <c r="N7" s="10">
        <v>21.3</v>
      </c>
      <c r="O7" s="10">
        <v>18.88</v>
      </c>
      <c r="P7" s="10">
        <v>0.0</v>
      </c>
      <c r="Q7" s="10">
        <v>1.79</v>
      </c>
      <c r="R7" s="10">
        <v>0.0</v>
      </c>
      <c r="S7" s="10">
        <v>1.0</v>
      </c>
      <c r="T7" s="10">
        <v>2.0</v>
      </c>
      <c r="U7" s="10">
        <v>2.0</v>
      </c>
      <c r="V7" s="10">
        <v>10.77</v>
      </c>
      <c r="W7" s="10">
        <v>61.44</v>
      </c>
      <c r="X7" s="10">
        <v>63.21</v>
      </c>
      <c r="Y7" s="10">
        <v>0.0</v>
      </c>
    </row>
    <row r="8">
      <c r="A8" s="16">
        <v>42954.0</v>
      </c>
      <c r="B8" s="10">
        <v>133.0</v>
      </c>
      <c r="C8" s="10" t="s">
        <v>62</v>
      </c>
      <c r="D8" s="10" t="s">
        <v>111</v>
      </c>
      <c r="E8" s="10" t="s">
        <v>111</v>
      </c>
      <c r="F8" s="10" t="s">
        <v>117</v>
      </c>
      <c r="G8" s="10" t="s">
        <v>80</v>
      </c>
      <c r="H8" s="10">
        <v>3.0</v>
      </c>
      <c r="I8" s="10">
        <v>4.0</v>
      </c>
      <c r="J8" s="10">
        <v>1.0</v>
      </c>
      <c r="K8" s="10">
        <v>29.3</v>
      </c>
      <c r="L8" s="10">
        <v>2.57</v>
      </c>
      <c r="M8" s="10">
        <v>18.74</v>
      </c>
      <c r="N8" s="10">
        <v>20.25</v>
      </c>
      <c r="O8" s="10">
        <v>15.48</v>
      </c>
      <c r="P8" s="10">
        <v>0.0</v>
      </c>
      <c r="Q8" s="10">
        <v>-1.57</v>
      </c>
      <c r="R8" s="10">
        <v>0.0</v>
      </c>
      <c r="S8" s="10">
        <v>2.0</v>
      </c>
      <c r="T8" s="10">
        <v>0.0</v>
      </c>
      <c r="U8" s="10">
        <v>3.0</v>
      </c>
      <c r="V8" s="10">
        <v>11.76</v>
      </c>
      <c r="W8" s="10">
        <v>53.32</v>
      </c>
      <c r="X8" s="10">
        <v>54.76</v>
      </c>
      <c r="Y8" s="10">
        <v>0.0</v>
      </c>
    </row>
    <row r="9">
      <c r="A9" s="16">
        <v>42954.0</v>
      </c>
      <c r="B9" s="10">
        <v>141.0</v>
      </c>
      <c r="C9" s="10" t="s">
        <v>44</v>
      </c>
      <c r="D9" s="10" t="s">
        <v>118</v>
      </c>
      <c r="F9" s="10" t="s">
        <v>97</v>
      </c>
      <c r="G9" s="10" t="s">
        <v>77</v>
      </c>
      <c r="H9" s="10">
        <v>1.0</v>
      </c>
      <c r="I9" s="10">
        <v>2.0</v>
      </c>
      <c r="J9" s="10">
        <v>1.0</v>
      </c>
      <c r="K9" s="10">
        <v>11.36</v>
      </c>
      <c r="L9" s="10">
        <v>1.83</v>
      </c>
      <c r="M9" s="10">
        <v>15.9</v>
      </c>
      <c r="N9" s="10">
        <v>16.18</v>
      </c>
      <c r="O9" s="10">
        <v>13.49</v>
      </c>
      <c r="P9" s="10">
        <v>0.0</v>
      </c>
      <c r="Q9" s="10">
        <v>-1.3</v>
      </c>
      <c r="R9" s="10">
        <v>0.0</v>
      </c>
      <c r="S9" s="10">
        <v>2.0</v>
      </c>
      <c r="T9" s="10">
        <v>0.0</v>
      </c>
      <c r="U9" s="10">
        <v>3.0</v>
      </c>
      <c r="V9" s="10">
        <v>10.3</v>
      </c>
      <c r="W9" s="10">
        <v>46.55</v>
      </c>
      <c r="X9" s="10">
        <v>53.05</v>
      </c>
      <c r="Y9" s="10">
        <v>0.0</v>
      </c>
    </row>
    <row r="10">
      <c r="A10" s="16">
        <v>42958.0</v>
      </c>
      <c r="B10" s="10">
        <v>142.0</v>
      </c>
      <c r="C10" s="10" t="s">
        <v>44</v>
      </c>
      <c r="D10" s="10" t="s">
        <v>46</v>
      </c>
      <c r="E10" s="10" t="s">
        <v>77</v>
      </c>
      <c r="F10" s="10" t="s">
        <v>97</v>
      </c>
      <c r="G10" s="10" t="s">
        <v>77</v>
      </c>
      <c r="H10" s="10">
        <v>1.0</v>
      </c>
      <c r="I10" s="10">
        <v>2.0</v>
      </c>
      <c r="J10" s="10">
        <v>1.0</v>
      </c>
      <c r="K10" s="10">
        <v>13.08</v>
      </c>
      <c r="L10" s="10">
        <v>2.5</v>
      </c>
      <c r="M10" s="10">
        <v>16.55</v>
      </c>
      <c r="N10" s="10">
        <v>17.94</v>
      </c>
      <c r="O10" s="10">
        <v>13.4</v>
      </c>
      <c r="P10" s="10">
        <v>0.0</v>
      </c>
      <c r="Q10" s="10">
        <v>-1.54</v>
      </c>
      <c r="R10" s="10">
        <v>0.0</v>
      </c>
      <c r="S10" s="10">
        <v>3.0</v>
      </c>
      <c r="T10" s="10">
        <v>0.0</v>
      </c>
      <c r="U10" s="10">
        <v>2.0</v>
      </c>
      <c r="V10" s="10">
        <v>9.56</v>
      </c>
      <c r="W10" s="10">
        <v>42.47</v>
      </c>
      <c r="X10" s="10">
        <v>49.64</v>
      </c>
      <c r="Y10" s="10">
        <v>0.0</v>
      </c>
    </row>
    <row r="11">
      <c r="B11" s="10">
        <v>137.0</v>
      </c>
      <c r="C11" s="10" t="s">
        <v>62</v>
      </c>
      <c r="D11" s="10" t="s">
        <v>111</v>
      </c>
      <c r="E11" s="10" t="s">
        <v>80</v>
      </c>
      <c r="F11" s="10" t="s">
        <v>117</v>
      </c>
      <c r="G11" s="10" t="s">
        <v>80</v>
      </c>
      <c r="H11" s="10">
        <v>3.0</v>
      </c>
      <c r="I11" s="10">
        <v>3.0</v>
      </c>
      <c r="J11" s="10">
        <v>1.0</v>
      </c>
      <c r="K11" s="10">
        <v>43.57</v>
      </c>
      <c r="L11" s="10">
        <v>3.05</v>
      </c>
      <c r="M11" s="10">
        <v>18.55</v>
      </c>
      <c r="N11" s="10">
        <v>19.59</v>
      </c>
      <c r="O11" s="10">
        <v>14.91</v>
      </c>
      <c r="P11" s="10">
        <v>0.0</v>
      </c>
      <c r="Q11" s="10">
        <v>-1.89</v>
      </c>
      <c r="R11" s="10">
        <v>0.0</v>
      </c>
      <c r="S11" s="10">
        <v>3.0</v>
      </c>
      <c r="T11" s="10">
        <v>0.0</v>
      </c>
      <c r="U11" s="10">
        <v>2.0</v>
      </c>
      <c r="V11" s="10">
        <v>11.24</v>
      </c>
      <c r="W11" s="10">
        <v>44.93</v>
      </c>
      <c r="X11" s="10">
        <v>48.1</v>
      </c>
      <c r="Y11" s="10">
        <v>0.0</v>
      </c>
    </row>
    <row r="12">
      <c r="B12" s="10">
        <v>132.0</v>
      </c>
      <c r="C12" s="10" t="s">
        <v>62</v>
      </c>
      <c r="D12" s="10" t="s">
        <v>69</v>
      </c>
      <c r="E12" s="10" t="s">
        <v>80</v>
      </c>
      <c r="F12" s="10" t="s">
        <v>121</v>
      </c>
      <c r="G12" s="10" t="s">
        <v>69</v>
      </c>
      <c r="H12" s="10">
        <v>7.0</v>
      </c>
      <c r="I12" s="10">
        <v>7.0</v>
      </c>
      <c r="J12" s="10">
        <v>1.0</v>
      </c>
      <c r="K12" s="10">
        <v>118.53</v>
      </c>
      <c r="L12" s="10">
        <v>10.19</v>
      </c>
      <c r="M12" s="10">
        <v>18.33</v>
      </c>
      <c r="N12" s="10">
        <v>20.71</v>
      </c>
      <c r="O12" s="10">
        <v>17.72</v>
      </c>
      <c r="P12" s="10">
        <v>0.0</v>
      </c>
      <c r="Q12" s="10" t="s">
        <v>122</v>
      </c>
      <c r="R12" s="10">
        <v>0.0</v>
      </c>
      <c r="S12" s="10">
        <v>2.0</v>
      </c>
      <c r="T12" s="10">
        <v>0.0</v>
      </c>
      <c r="U12" s="10">
        <v>3.0</v>
      </c>
      <c r="V12" s="10">
        <v>10.89</v>
      </c>
      <c r="W12" s="10">
        <v>62.83</v>
      </c>
      <c r="X12" s="10">
        <v>64.6</v>
      </c>
      <c r="Y12" s="10">
        <v>0.0</v>
      </c>
    </row>
    <row r="13">
      <c r="B13" s="10">
        <v>131.0</v>
      </c>
      <c r="C13" s="10" t="s">
        <v>44</v>
      </c>
      <c r="D13" s="10" t="s">
        <v>48</v>
      </c>
      <c r="E13" s="10" t="s">
        <v>77</v>
      </c>
      <c r="F13" s="10" t="s">
        <v>123</v>
      </c>
      <c r="G13" s="10" t="s">
        <v>48</v>
      </c>
      <c r="H13" s="10">
        <v>1.0</v>
      </c>
      <c r="I13" s="10">
        <v>9.0</v>
      </c>
      <c r="J13" s="10">
        <v>1.0</v>
      </c>
      <c r="K13" s="10">
        <v>82.41</v>
      </c>
      <c r="L13" s="10">
        <v>9.8</v>
      </c>
      <c r="M13" s="10">
        <v>17.11</v>
      </c>
      <c r="N13" s="10">
        <v>19.21</v>
      </c>
      <c r="O13" s="10">
        <v>16.65</v>
      </c>
      <c r="P13" s="10">
        <v>0.0</v>
      </c>
      <c r="Q13" s="10">
        <v>-1.87</v>
      </c>
      <c r="R13" s="10">
        <v>0.0</v>
      </c>
      <c r="S13" s="10">
        <v>2.0</v>
      </c>
      <c r="T13" s="10">
        <v>0.0</v>
      </c>
      <c r="U13" s="10">
        <v>3.0</v>
      </c>
      <c r="V13" s="10">
        <v>10.84</v>
      </c>
      <c r="W13" s="10">
        <v>60.24</v>
      </c>
      <c r="X13" s="10">
        <v>67.96</v>
      </c>
      <c r="Y13" s="10">
        <v>0.0</v>
      </c>
    </row>
    <row r="14">
      <c r="B14" s="10">
        <v>129.0</v>
      </c>
      <c r="C14" s="10" t="s">
        <v>62</v>
      </c>
      <c r="D14" s="10" t="s">
        <v>69</v>
      </c>
      <c r="E14" s="10" t="s">
        <v>80</v>
      </c>
      <c r="F14" s="10" t="s">
        <v>121</v>
      </c>
      <c r="G14" s="10" t="s">
        <v>69</v>
      </c>
      <c r="H14" s="10">
        <v>9.0</v>
      </c>
      <c r="I14" s="10">
        <v>7.0</v>
      </c>
      <c r="J14" s="10">
        <v>1.0</v>
      </c>
      <c r="K14" s="10">
        <v>140.87</v>
      </c>
      <c r="L14" s="10">
        <v>10.6</v>
      </c>
      <c r="M14" s="10">
        <v>19.67</v>
      </c>
      <c r="N14" s="10">
        <v>22.73</v>
      </c>
      <c r="O14" s="10">
        <v>19.9</v>
      </c>
      <c r="P14" s="10">
        <v>0.0</v>
      </c>
      <c r="Q14" s="10">
        <v>1.83</v>
      </c>
      <c r="R14" s="10">
        <v>0.0</v>
      </c>
      <c r="S14" s="10">
        <v>2.0</v>
      </c>
      <c r="T14" s="10">
        <v>0.0</v>
      </c>
      <c r="U14" s="10">
        <v>3.0</v>
      </c>
      <c r="V14" s="10">
        <v>11.49</v>
      </c>
      <c r="W14" s="10">
        <v>59.53</v>
      </c>
      <c r="X14" s="10">
        <v>63.49</v>
      </c>
      <c r="Y14" s="10">
        <v>0.0</v>
      </c>
    </row>
    <row r="15">
      <c r="B15" s="10">
        <v>130.0</v>
      </c>
      <c r="C15" s="10" t="s">
        <v>62</v>
      </c>
      <c r="D15" s="10" t="s">
        <v>69</v>
      </c>
      <c r="E15" s="10" t="s">
        <v>80</v>
      </c>
      <c r="F15" s="10" t="s">
        <v>125</v>
      </c>
      <c r="G15" s="10" t="s">
        <v>69</v>
      </c>
      <c r="H15" s="10">
        <v>10.0</v>
      </c>
      <c r="I15" s="10">
        <v>7.0</v>
      </c>
      <c r="J15" s="10">
        <v>1.0</v>
      </c>
      <c r="K15" s="10">
        <v>72.54</v>
      </c>
      <c r="L15" s="10">
        <v>11.92</v>
      </c>
      <c r="M15" s="10">
        <v>19.66</v>
      </c>
      <c r="N15" s="10">
        <v>21.32</v>
      </c>
      <c r="O15" s="10">
        <v>17.64</v>
      </c>
      <c r="P15" s="10">
        <v>0.0</v>
      </c>
      <c r="Q15" s="10">
        <v>-1.06</v>
      </c>
      <c r="R15" s="10">
        <v>0.0</v>
      </c>
      <c r="S15" s="10">
        <v>2.0</v>
      </c>
      <c r="T15" s="10">
        <v>0.0</v>
      </c>
      <c r="U15" s="10">
        <v>3.0</v>
      </c>
      <c r="V15" s="10">
        <v>11.56</v>
      </c>
      <c r="W15" s="10">
        <v>45.45</v>
      </c>
      <c r="X15" s="10">
        <v>51.02</v>
      </c>
      <c r="Y15" s="10">
        <v>0.0</v>
      </c>
    </row>
    <row r="16">
      <c r="A16" s="16">
        <v>42960.0</v>
      </c>
      <c r="B16" s="10">
        <v>119.0</v>
      </c>
      <c r="C16" s="10" t="s">
        <v>44</v>
      </c>
      <c r="D16" s="10" t="s">
        <v>48</v>
      </c>
      <c r="E16" s="10" t="s">
        <v>77</v>
      </c>
      <c r="F16" s="10" t="s">
        <v>126</v>
      </c>
      <c r="G16" s="10" t="s">
        <v>48</v>
      </c>
      <c r="H16" s="10">
        <v>7.0</v>
      </c>
      <c r="I16" s="10">
        <v>9.0</v>
      </c>
      <c r="J16" s="10">
        <v>1.0</v>
      </c>
      <c r="K16" s="10">
        <v>100.0</v>
      </c>
      <c r="L16" s="10">
        <v>11.87</v>
      </c>
      <c r="M16" s="10">
        <v>19.41</v>
      </c>
      <c r="N16" s="10">
        <v>22.71</v>
      </c>
      <c r="O16" s="10">
        <v>20.83</v>
      </c>
      <c r="P16" s="10">
        <v>0.0</v>
      </c>
      <c r="Q16" s="10">
        <v>-1.33</v>
      </c>
      <c r="R16" s="10">
        <v>0.0</v>
      </c>
      <c r="S16" s="10">
        <v>2.0</v>
      </c>
      <c r="T16" s="10">
        <v>1.0</v>
      </c>
      <c r="U16" s="10">
        <v>2.0</v>
      </c>
      <c r="V16" s="10">
        <v>12.45</v>
      </c>
      <c r="W16" s="10">
        <v>59.76</v>
      </c>
      <c r="X16" s="10">
        <v>65.36</v>
      </c>
      <c r="Y16" s="10">
        <v>0.0</v>
      </c>
    </row>
    <row r="17">
      <c r="B17" s="10">
        <v>120.0</v>
      </c>
      <c r="C17" s="10" t="s">
        <v>62</v>
      </c>
      <c r="D17" s="10" t="s">
        <v>69</v>
      </c>
      <c r="E17" s="10" t="s">
        <v>80</v>
      </c>
      <c r="F17" s="10" t="s">
        <v>125</v>
      </c>
      <c r="G17" s="10" t="s">
        <v>69</v>
      </c>
      <c r="H17" s="10">
        <v>15.0</v>
      </c>
      <c r="I17" s="10">
        <v>6.0</v>
      </c>
      <c r="J17" s="10">
        <v>1.0</v>
      </c>
      <c r="K17" s="10">
        <v>76.01</v>
      </c>
      <c r="L17" s="10">
        <v>8.88</v>
      </c>
      <c r="M17" s="10">
        <v>18.55</v>
      </c>
      <c r="N17" s="10">
        <v>21.33</v>
      </c>
      <c r="O17" s="10">
        <v>19.1</v>
      </c>
      <c r="P17" s="10">
        <v>0.0</v>
      </c>
      <c r="Q17" s="10">
        <v>-1.94</v>
      </c>
      <c r="R17" s="10">
        <v>0.0</v>
      </c>
      <c r="S17" s="10">
        <v>2.0</v>
      </c>
      <c r="T17" s="10">
        <v>1.0</v>
      </c>
      <c r="U17" s="10">
        <v>2.0</v>
      </c>
      <c r="V17" s="10">
        <v>11.83</v>
      </c>
      <c r="W17" s="10">
        <v>58.49</v>
      </c>
      <c r="X17" s="10">
        <v>59.4</v>
      </c>
      <c r="Y17" s="10">
        <v>0.0</v>
      </c>
    </row>
    <row r="18">
      <c r="B18" s="10">
        <v>122.0</v>
      </c>
      <c r="C18" s="10" t="s">
        <v>62</v>
      </c>
      <c r="D18" s="10" t="s">
        <v>80</v>
      </c>
      <c r="E18" s="10" t="s">
        <v>80</v>
      </c>
      <c r="F18" s="10" t="s">
        <v>129</v>
      </c>
      <c r="G18" s="10" t="s">
        <v>80</v>
      </c>
      <c r="H18" s="10">
        <v>2.0</v>
      </c>
      <c r="I18" s="10">
        <v>5.0</v>
      </c>
      <c r="J18" s="10">
        <v>1.0</v>
      </c>
      <c r="K18" s="10">
        <v>41.72</v>
      </c>
      <c r="L18" s="10">
        <v>3.69</v>
      </c>
      <c r="M18" s="10">
        <v>16.2</v>
      </c>
      <c r="N18" s="10">
        <v>17.74</v>
      </c>
      <c r="O18" s="10">
        <v>13.49</v>
      </c>
      <c r="P18" s="10">
        <v>0.0</v>
      </c>
      <c r="Q18" s="10">
        <v>-2.25</v>
      </c>
      <c r="R18" s="10">
        <v>0.0</v>
      </c>
      <c r="S18" s="10">
        <v>3.0</v>
      </c>
      <c r="T18" s="10">
        <v>0.0</v>
      </c>
      <c r="U18" s="10">
        <v>2.0</v>
      </c>
      <c r="V18" s="10">
        <v>10.8</v>
      </c>
      <c r="W18" s="10">
        <v>52.62</v>
      </c>
      <c r="X18" s="10">
        <v>54.87</v>
      </c>
      <c r="Y18" s="10">
        <v>0.0</v>
      </c>
    </row>
    <row r="19">
      <c r="B19" s="10">
        <v>121.0</v>
      </c>
      <c r="C19" s="10" t="s">
        <v>62</v>
      </c>
      <c r="D19" s="10" t="s">
        <v>80</v>
      </c>
      <c r="E19" s="10" t="s">
        <v>80</v>
      </c>
      <c r="F19" s="10" t="s">
        <v>129</v>
      </c>
      <c r="G19" s="10" t="s">
        <v>80</v>
      </c>
      <c r="H19" s="10">
        <v>2.0</v>
      </c>
      <c r="I19" s="10">
        <v>3.0</v>
      </c>
      <c r="J19" s="10">
        <v>1.0</v>
      </c>
      <c r="K19">
        <f>42.82+25.54</f>
        <v>68.36</v>
      </c>
      <c r="L19" s="10">
        <v>5.86</v>
      </c>
      <c r="M19" s="10">
        <v>19.33</v>
      </c>
      <c r="N19" s="10">
        <v>20.3</v>
      </c>
      <c r="O19" s="10">
        <v>16.06</v>
      </c>
      <c r="P19" s="10">
        <v>0.0</v>
      </c>
      <c r="Q19" s="10">
        <v>-1.68</v>
      </c>
      <c r="R19" s="10">
        <v>0.0</v>
      </c>
      <c r="S19" s="10">
        <v>3.0</v>
      </c>
      <c r="T19" s="10">
        <v>0.0</v>
      </c>
      <c r="U19" s="10">
        <v>2.0</v>
      </c>
      <c r="V19" s="10">
        <v>12.43</v>
      </c>
      <c r="W19" s="10">
        <v>48.55</v>
      </c>
      <c r="X19" s="10">
        <v>49.85</v>
      </c>
      <c r="Y19" s="10">
        <v>0.0</v>
      </c>
    </row>
    <row r="20">
      <c r="B20" s="10">
        <v>128.0</v>
      </c>
      <c r="C20" s="10" t="s">
        <v>62</v>
      </c>
      <c r="D20" s="10" t="s">
        <v>69</v>
      </c>
      <c r="E20" s="10" t="s">
        <v>80</v>
      </c>
      <c r="F20" s="10" t="s">
        <v>125</v>
      </c>
      <c r="G20" s="10" t="s">
        <v>69</v>
      </c>
      <c r="H20" s="10">
        <v>16.0</v>
      </c>
      <c r="I20" s="10">
        <v>8.0</v>
      </c>
      <c r="J20" s="10">
        <v>1.0</v>
      </c>
      <c r="K20">
        <f>33.03+15.62+28.36+7.59</f>
        <v>84.6</v>
      </c>
      <c r="L20" s="10">
        <v>7.59</v>
      </c>
      <c r="M20" s="10">
        <v>17.96</v>
      </c>
      <c r="N20" s="10">
        <v>18.62</v>
      </c>
      <c r="O20" s="10">
        <v>17.37</v>
      </c>
      <c r="P20" s="10">
        <v>0.0</v>
      </c>
      <c r="Q20" s="10">
        <v>-1.27</v>
      </c>
      <c r="R20" s="10">
        <v>0.0</v>
      </c>
      <c r="S20" s="10">
        <v>2.0</v>
      </c>
      <c r="T20" s="10">
        <v>1.0</v>
      </c>
      <c r="U20" s="10">
        <v>2.0</v>
      </c>
      <c r="V20" s="10">
        <v>11.11</v>
      </c>
      <c r="W20" s="10">
        <v>46.25</v>
      </c>
      <c r="X20" s="10">
        <v>44.39</v>
      </c>
      <c r="Y20" s="10">
        <v>0.0</v>
      </c>
    </row>
    <row r="21">
      <c r="B21" s="10">
        <v>130.0</v>
      </c>
      <c r="C21" s="10" t="s">
        <v>62</v>
      </c>
      <c r="D21" s="10" t="s">
        <v>48</v>
      </c>
      <c r="E21" s="10" t="s">
        <v>77</v>
      </c>
      <c r="F21" s="10" t="s">
        <v>126</v>
      </c>
      <c r="G21" s="10" t="s">
        <v>48</v>
      </c>
      <c r="H21" s="10">
        <v>4.0</v>
      </c>
      <c r="I21" s="10">
        <v>9.0</v>
      </c>
      <c r="J21" s="10">
        <v>1.0</v>
      </c>
      <c r="K21">
        <f>51.16+18.6</f>
        <v>69.76</v>
      </c>
      <c r="L21" s="10">
        <v>6.18</v>
      </c>
      <c r="M21" s="10">
        <v>18.33</v>
      </c>
      <c r="N21" s="10">
        <v>20.5</v>
      </c>
      <c r="O21" s="10">
        <v>19.52</v>
      </c>
      <c r="P21" s="10">
        <v>0.0</v>
      </c>
      <c r="Q21" s="10">
        <v>-2.01</v>
      </c>
      <c r="R21" s="10">
        <v>0.0</v>
      </c>
      <c r="S21" s="10">
        <v>2.0</v>
      </c>
      <c r="T21" s="10">
        <v>0.0</v>
      </c>
      <c r="U21" s="10">
        <v>3.0</v>
      </c>
      <c r="V21" s="10">
        <v>11.19</v>
      </c>
      <c r="W21" s="10">
        <v>58.49</v>
      </c>
      <c r="X21" s="10">
        <v>67.75</v>
      </c>
      <c r="Y21" s="10">
        <v>0.0</v>
      </c>
    </row>
    <row r="22">
      <c r="B22" s="10">
        <v>129.0</v>
      </c>
      <c r="C22" s="10" t="s">
        <v>62</v>
      </c>
      <c r="D22" s="10" t="s">
        <v>69</v>
      </c>
      <c r="E22" s="10" t="s">
        <v>80</v>
      </c>
      <c r="F22" s="10" t="s">
        <v>125</v>
      </c>
      <c r="G22" s="10" t="s">
        <v>69</v>
      </c>
      <c r="H22" s="10">
        <v>1.0</v>
      </c>
      <c r="I22" s="10">
        <v>5.0</v>
      </c>
      <c r="J22" s="10">
        <v>1.0</v>
      </c>
      <c r="K22" s="10">
        <v>64.56</v>
      </c>
      <c r="L22" s="10">
        <v>10.43</v>
      </c>
      <c r="M22" s="10">
        <v>19.41</v>
      </c>
      <c r="N22" s="10">
        <v>21.68</v>
      </c>
      <c r="O22" s="10">
        <v>18.52</v>
      </c>
      <c r="P22" s="10">
        <v>0.0</v>
      </c>
      <c r="Q22" s="10">
        <v>-1.66</v>
      </c>
      <c r="R22" s="10">
        <v>0.0</v>
      </c>
      <c r="S22" s="10">
        <v>1.0</v>
      </c>
      <c r="T22" s="10">
        <v>0.0</v>
      </c>
      <c r="U22" s="10">
        <v>4.0</v>
      </c>
      <c r="V22" s="10">
        <v>11.65</v>
      </c>
      <c r="W22" s="10">
        <v>29.78</v>
      </c>
      <c r="X22" s="10">
        <v>35.93</v>
      </c>
      <c r="Y22" s="10">
        <v>0.0</v>
      </c>
    </row>
    <row r="23">
      <c r="B23" s="10">
        <v>132.0</v>
      </c>
      <c r="C23" s="10" t="s">
        <v>62</v>
      </c>
      <c r="D23" s="10" t="s">
        <v>69</v>
      </c>
      <c r="E23" s="10" t="s">
        <v>80</v>
      </c>
      <c r="F23" s="10" t="s">
        <v>125</v>
      </c>
      <c r="G23" s="10" t="s">
        <v>69</v>
      </c>
      <c r="H23" s="10">
        <v>9.0</v>
      </c>
      <c r="I23" s="10">
        <v>10.0</v>
      </c>
      <c r="J23" s="10">
        <v>1.0</v>
      </c>
      <c r="K23">
        <f>80+36.27</f>
        <v>116.27</v>
      </c>
      <c r="L23" s="10">
        <v>9.78</v>
      </c>
      <c r="M23" s="10">
        <v>17.4</v>
      </c>
      <c r="N23" s="10">
        <v>19.58</v>
      </c>
      <c r="O23" s="10">
        <v>17.2</v>
      </c>
      <c r="P23" s="10">
        <v>0.0</v>
      </c>
      <c r="Q23" s="10">
        <v>-1.54</v>
      </c>
      <c r="R23" s="10">
        <v>0.0</v>
      </c>
      <c r="S23" s="10">
        <v>1.0</v>
      </c>
      <c r="T23" s="10">
        <v>1.0</v>
      </c>
      <c r="U23" s="10">
        <v>3.0</v>
      </c>
      <c r="V23" s="10">
        <v>11.27</v>
      </c>
      <c r="W23" s="10">
        <v>63.55</v>
      </c>
      <c r="X23" s="10">
        <v>63.64</v>
      </c>
      <c r="Y23" s="10">
        <v>0.0</v>
      </c>
    </row>
    <row r="24">
      <c r="A24" s="10">
        <v>170815.0</v>
      </c>
      <c r="B24" s="10">
        <v>141.0</v>
      </c>
      <c r="C24" s="10" t="s">
        <v>44</v>
      </c>
      <c r="D24" s="10" t="s">
        <v>135</v>
      </c>
      <c r="E24" s="10" t="s">
        <v>77</v>
      </c>
      <c r="F24" s="10" t="s">
        <v>136</v>
      </c>
      <c r="G24" s="10" t="s">
        <v>77</v>
      </c>
      <c r="H24" s="10">
        <v>1.0</v>
      </c>
      <c r="I24" s="10">
        <v>4.0</v>
      </c>
      <c r="J24" s="10">
        <v>1.0</v>
      </c>
      <c r="K24">
        <f>10.86+20.5+24.39</f>
        <v>55.75</v>
      </c>
      <c r="L24" s="10">
        <v>7.23</v>
      </c>
      <c r="M24" s="10">
        <v>17.52</v>
      </c>
      <c r="N24" s="10">
        <v>19.79</v>
      </c>
      <c r="O24" s="10">
        <v>16.89</v>
      </c>
      <c r="P24" s="10">
        <v>0.0</v>
      </c>
      <c r="Q24" s="10">
        <v>-0.96</v>
      </c>
      <c r="R24" s="10">
        <v>0.0</v>
      </c>
      <c r="S24" s="10">
        <v>2.0</v>
      </c>
      <c r="T24" s="10">
        <v>0.0</v>
      </c>
      <c r="U24" s="10">
        <v>3.0</v>
      </c>
      <c r="V24" s="10">
        <v>11.33</v>
      </c>
      <c r="W24" s="10">
        <v>55.48</v>
      </c>
      <c r="X24" s="10">
        <v>64.25</v>
      </c>
      <c r="Y24" s="10">
        <v>0.0</v>
      </c>
    </row>
    <row r="25">
      <c r="A25" s="10">
        <v>170817.0</v>
      </c>
      <c r="B25" s="10">
        <v>119.0</v>
      </c>
      <c r="C25" s="10" t="s">
        <v>44</v>
      </c>
      <c r="D25" s="10" t="s">
        <v>48</v>
      </c>
      <c r="E25" s="10" t="s">
        <v>77</v>
      </c>
      <c r="F25" s="10" t="s">
        <v>126</v>
      </c>
      <c r="G25" s="10" t="s">
        <v>48</v>
      </c>
      <c r="H25" s="10">
        <v>8.0</v>
      </c>
      <c r="I25" s="10">
        <v>7.0</v>
      </c>
      <c r="J25" s="10">
        <v>1.0</v>
      </c>
      <c r="K25">
        <f>63.26+8.28</f>
        <v>71.54</v>
      </c>
      <c r="L25" s="10">
        <v>8.43</v>
      </c>
      <c r="M25" s="10">
        <v>18.77</v>
      </c>
      <c r="N25" s="10">
        <v>21.01</v>
      </c>
      <c r="O25" s="10">
        <v>18.22</v>
      </c>
      <c r="P25" s="10">
        <v>0.0</v>
      </c>
      <c r="Q25" s="10">
        <v>-1.77</v>
      </c>
      <c r="R25" s="10">
        <v>0.0</v>
      </c>
      <c r="S25" s="10">
        <v>2.0</v>
      </c>
      <c r="T25" s="10">
        <v>1.0</v>
      </c>
      <c r="U25" s="10">
        <v>2.0</v>
      </c>
      <c r="V25" s="10">
        <v>11.11</v>
      </c>
      <c r="W25" s="10">
        <v>44.5</v>
      </c>
      <c r="X25" s="10">
        <v>51.68</v>
      </c>
      <c r="Y25" s="10">
        <v>0.0</v>
      </c>
    </row>
    <row r="26">
      <c r="B26" s="10">
        <v>120.0</v>
      </c>
      <c r="C26" s="10" t="s">
        <v>62</v>
      </c>
      <c r="D26" s="10" t="s">
        <v>48</v>
      </c>
      <c r="E26" s="10" t="s">
        <v>77</v>
      </c>
      <c r="F26" s="10" t="s">
        <v>126</v>
      </c>
      <c r="G26" s="10" t="s">
        <v>48</v>
      </c>
      <c r="H26" s="10">
        <v>18.0</v>
      </c>
      <c r="I26" s="10">
        <v>7.0</v>
      </c>
      <c r="J26" s="10">
        <v>1.0</v>
      </c>
      <c r="K26" s="10">
        <f>70.89+9.25</f>
        <v>80.14</v>
      </c>
      <c r="L26" s="10">
        <v>6.05</v>
      </c>
      <c r="M26" s="10">
        <v>17.8</v>
      </c>
      <c r="N26" s="10">
        <v>18.91</v>
      </c>
      <c r="O26" s="10">
        <v>17.4</v>
      </c>
      <c r="P26" s="10">
        <v>0.0</v>
      </c>
      <c r="Q26" s="10">
        <v>-1.84</v>
      </c>
      <c r="R26" s="10">
        <v>0.0</v>
      </c>
      <c r="S26" s="10">
        <v>2.0</v>
      </c>
      <c r="T26" s="10">
        <v>0.0</v>
      </c>
      <c r="U26" s="10">
        <v>3.0</v>
      </c>
      <c r="V26" s="10">
        <v>11.63</v>
      </c>
      <c r="W26" s="10">
        <v>58.62</v>
      </c>
      <c r="X26" s="10">
        <v>59.61</v>
      </c>
      <c r="Y26" s="10">
        <v>0.0</v>
      </c>
    </row>
    <row r="27">
      <c r="B27" s="10">
        <v>128.0</v>
      </c>
      <c r="C27" s="10" t="s">
        <v>62</v>
      </c>
      <c r="D27" s="10" t="s">
        <v>48</v>
      </c>
      <c r="E27" s="10" t="s">
        <v>80</v>
      </c>
      <c r="F27" s="10" t="s">
        <v>125</v>
      </c>
      <c r="G27" s="10" t="s">
        <v>69</v>
      </c>
      <c r="H27" s="10">
        <v>5.0</v>
      </c>
      <c r="I27" s="10">
        <v>8.0</v>
      </c>
      <c r="J27" s="10">
        <v>1.0</v>
      </c>
      <c r="K27">
        <f>66.27+12.21</f>
        <v>78.48</v>
      </c>
      <c r="L27" s="10">
        <v>9.17</v>
      </c>
      <c r="M27" s="10">
        <v>19.6</v>
      </c>
      <c r="N27" s="10">
        <v>21.41</v>
      </c>
      <c r="O27" s="10">
        <v>19.08</v>
      </c>
      <c r="P27" s="10">
        <v>0.0</v>
      </c>
      <c r="Q27" s="10">
        <v>2.08</v>
      </c>
      <c r="R27" s="10">
        <v>0.0</v>
      </c>
      <c r="S27" s="10">
        <v>1.0</v>
      </c>
      <c r="T27" s="10">
        <v>2.0</v>
      </c>
      <c r="U27" s="10">
        <v>2.0</v>
      </c>
      <c r="V27" s="10">
        <v>10.79</v>
      </c>
      <c r="W27" s="10">
        <v>48.55</v>
      </c>
      <c r="X27" s="10">
        <v>55.49</v>
      </c>
      <c r="Y27" s="10">
        <v>0.0</v>
      </c>
    </row>
    <row r="28">
      <c r="B28" s="10">
        <v>133.0</v>
      </c>
      <c r="C28" s="10" t="s">
        <v>62</v>
      </c>
      <c r="D28" s="10" t="s">
        <v>80</v>
      </c>
      <c r="E28" s="10" t="s">
        <v>80</v>
      </c>
      <c r="F28" s="10" t="s">
        <v>129</v>
      </c>
      <c r="G28" s="10" t="s">
        <v>80</v>
      </c>
      <c r="H28" s="10">
        <v>5.0</v>
      </c>
      <c r="I28" s="10">
        <v>4.0</v>
      </c>
      <c r="J28" s="10">
        <v>1.0</v>
      </c>
      <c r="K28">
        <f>45+19.41</f>
        <v>64.41</v>
      </c>
      <c r="L28" s="10">
        <v>5.05</v>
      </c>
      <c r="M28" s="10">
        <v>18.51</v>
      </c>
      <c r="N28" s="10">
        <v>20.14</v>
      </c>
      <c r="O28" s="10">
        <v>16.16</v>
      </c>
      <c r="P28" s="10">
        <v>0.0</v>
      </c>
      <c r="Q28" s="10">
        <v>-1.16</v>
      </c>
      <c r="R28" s="10">
        <v>0.0</v>
      </c>
      <c r="S28" s="10">
        <v>2.0</v>
      </c>
      <c r="T28" s="10">
        <v>0.0</v>
      </c>
      <c r="U28" s="10">
        <v>3.0</v>
      </c>
      <c r="V28" s="10">
        <v>11.64</v>
      </c>
      <c r="W28" s="10">
        <v>51.83</v>
      </c>
      <c r="X28" s="10">
        <v>55.8</v>
      </c>
      <c r="Y28" s="10">
        <v>0.0</v>
      </c>
    </row>
    <row r="29">
      <c r="B29" s="10">
        <v>136.0</v>
      </c>
      <c r="C29" s="10" t="s">
        <v>62</v>
      </c>
      <c r="D29" s="10" t="s">
        <v>80</v>
      </c>
      <c r="E29" s="10" t="s">
        <v>80</v>
      </c>
      <c r="F29" s="10" t="s">
        <v>129</v>
      </c>
      <c r="G29" s="10" t="s">
        <v>80</v>
      </c>
      <c r="H29" s="10">
        <v>2.0</v>
      </c>
      <c r="I29" s="10">
        <v>3.0</v>
      </c>
      <c r="J29" s="10">
        <v>1.0</v>
      </c>
      <c r="K29" s="10">
        <v>57.2</v>
      </c>
      <c r="L29" s="10">
        <v>5.51</v>
      </c>
      <c r="M29" s="10">
        <v>18.38</v>
      </c>
      <c r="N29" s="10">
        <v>21.25</v>
      </c>
      <c r="O29" s="10">
        <v>16.5</v>
      </c>
      <c r="P29" s="10">
        <v>0.0</v>
      </c>
      <c r="Q29" s="10">
        <v>-1.43</v>
      </c>
      <c r="R29" s="10">
        <v>0.0</v>
      </c>
      <c r="S29" s="10">
        <v>2.0</v>
      </c>
      <c r="T29" s="10">
        <v>0.0</v>
      </c>
      <c r="U29" s="10">
        <v>3.0</v>
      </c>
      <c r="V29" s="10">
        <v>11.29</v>
      </c>
      <c r="W29" s="10">
        <v>50.79</v>
      </c>
      <c r="X29" s="10">
        <v>54.67</v>
      </c>
      <c r="Y29" s="10">
        <v>0.0</v>
      </c>
    </row>
    <row r="30">
      <c r="A30" s="10">
        <v>170818.0</v>
      </c>
      <c r="B30" s="10">
        <v>119.0</v>
      </c>
      <c r="C30" s="10" t="s">
        <v>44</v>
      </c>
      <c r="D30" s="10" t="s">
        <v>48</v>
      </c>
      <c r="E30" s="10" t="s">
        <v>77</v>
      </c>
      <c r="F30" s="10" t="s">
        <v>126</v>
      </c>
      <c r="G30" s="10" t="s">
        <v>48</v>
      </c>
      <c r="H30" s="10">
        <v>9.0</v>
      </c>
      <c r="I30" s="10">
        <v>8.0</v>
      </c>
      <c r="J30" s="10">
        <v>1.0</v>
      </c>
      <c r="K30">
        <f>89.83+14.41</f>
        <v>104.24</v>
      </c>
      <c r="L30" s="10">
        <v>9.65</v>
      </c>
      <c r="M30" s="10">
        <v>20.02</v>
      </c>
      <c r="N30" s="10">
        <v>22.2</v>
      </c>
      <c r="O30" s="10">
        <v>19.21</v>
      </c>
      <c r="P30" s="10">
        <v>0.0</v>
      </c>
      <c r="Q30" s="10">
        <v>1.65</v>
      </c>
      <c r="R30" s="10">
        <v>0.0</v>
      </c>
      <c r="S30" s="10">
        <v>2.0</v>
      </c>
      <c r="T30" s="10">
        <v>1.0</v>
      </c>
      <c r="U30" s="10">
        <v>2.0</v>
      </c>
      <c r="V30" s="10">
        <v>11.57</v>
      </c>
      <c r="W30" s="10">
        <v>44.26</v>
      </c>
      <c r="X30" s="10">
        <v>51.22</v>
      </c>
      <c r="Y30" s="10">
        <v>0.0</v>
      </c>
    </row>
    <row r="31">
      <c r="B31" s="10">
        <v>137.0</v>
      </c>
      <c r="C31" s="10" t="s">
        <v>62</v>
      </c>
      <c r="D31" s="10" t="s">
        <v>80</v>
      </c>
      <c r="E31" s="10" t="s">
        <v>80</v>
      </c>
      <c r="F31" s="10" t="s">
        <v>129</v>
      </c>
      <c r="G31" s="10" t="s">
        <v>80</v>
      </c>
      <c r="H31" s="10">
        <v>2.0</v>
      </c>
      <c r="I31" s="10">
        <v>1.0</v>
      </c>
      <c r="J31" s="10">
        <v>1.0</v>
      </c>
      <c r="K31" s="10">
        <v>22.79</v>
      </c>
      <c r="L31" s="10">
        <v>3.42</v>
      </c>
      <c r="M31" s="10">
        <v>18.21</v>
      </c>
      <c r="N31" s="10">
        <v>18.67</v>
      </c>
      <c r="O31" s="10">
        <v>13.02</v>
      </c>
      <c r="P31" s="10">
        <v>0.0</v>
      </c>
      <c r="Q31" s="10">
        <v>-1.76</v>
      </c>
      <c r="R31" s="10">
        <v>0.0</v>
      </c>
      <c r="S31" s="10">
        <v>3.0</v>
      </c>
      <c r="T31" s="10">
        <v>0.0</v>
      </c>
      <c r="U31" s="10">
        <v>2.0</v>
      </c>
      <c r="V31" s="10">
        <v>10.46</v>
      </c>
      <c r="W31" s="10">
        <v>31.65</v>
      </c>
      <c r="X31" s="10">
        <v>33.27</v>
      </c>
      <c r="Y31" s="10">
        <v>0.0</v>
      </c>
    </row>
    <row r="32">
      <c r="B32" s="10">
        <v>133.0</v>
      </c>
      <c r="C32" s="10" t="s">
        <v>62</v>
      </c>
      <c r="D32" s="10" t="s">
        <v>80</v>
      </c>
      <c r="E32" s="10" t="s">
        <v>80</v>
      </c>
      <c r="F32" s="10" t="s">
        <v>129</v>
      </c>
      <c r="G32" s="10" t="s">
        <v>80</v>
      </c>
      <c r="H32" s="10">
        <v>3.0</v>
      </c>
      <c r="I32" s="10">
        <v>3.0</v>
      </c>
      <c r="J32" s="10">
        <v>1.0</v>
      </c>
      <c r="K32" s="10">
        <v>29.87</v>
      </c>
      <c r="L32" s="10">
        <v>2.61</v>
      </c>
      <c r="M32" s="10">
        <v>18.19</v>
      </c>
      <c r="N32" s="10">
        <v>19.46</v>
      </c>
      <c r="O32" s="10">
        <v>15.48</v>
      </c>
      <c r="P32" s="10">
        <v>0.0</v>
      </c>
      <c r="Q32" s="10">
        <v>-1.11</v>
      </c>
      <c r="R32" s="10">
        <v>0.0</v>
      </c>
      <c r="S32" s="10">
        <v>2.0</v>
      </c>
      <c r="T32" s="10">
        <v>0.0</v>
      </c>
      <c r="U32" s="10">
        <v>3.0</v>
      </c>
      <c r="V32" s="10">
        <v>10.85</v>
      </c>
      <c r="W32" s="10">
        <v>44.34</v>
      </c>
      <c r="X32" s="10">
        <v>42.9</v>
      </c>
      <c r="Y32" s="10">
        <v>0.0</v>
      </c>
    </row>
    <row r="33">
      <c r="A33" s="10">
        <v>170819.0</v>
      </c>
      <c r="B33" s="10">
        <v>121.0</v>
      </c>
      <c r="C33" s="10" t="s">
        <v>44</v>
      </c>
      <c r="D33" s="10" t="s">
        <v>77</v>
      </c>
      <c r="E33" s="10" t="s">
        <v>77</v>
      </c>
      <c r="F33" s="10" t="s">
        <v>136</v>
      </c>
      <c r="G33" s="10" t="s">
        <v>77</v>
      </c>
      <c r="H33" s="10">
        <v>1.0</v>
      </c>
      <c r="I33" s="10">
        <v>2.0</v>
      </c>
      <c r="J33" s="10">
        <v>1.0</v>
      </c>
      <c r="K33" s="10">
        <v>15.72</v>
      </c>
      <c r="L33" s="10">
        <v>1.48</v>
      </c>
      <c r="M33" s="10">
        <v>16.5</v>
      </c>
      <c r="N33" s="10">
        <v>17.55</v>
      </c>
      <c r="O33" s="10">
        <v>14.59</v>
      </c>
      <c r="P33" s="10">
        <v>0.0</v>
      </c>
      <c r="Q33" s="10">
        <v>-1.29</v>
      </c>
      <c r="R33" s="10">
        <v>0.0</v>
      </c>
      <c r="S33" s="10">
        <v>3.0</v>
      </c>
      <c r="T33" s="10">
        <v>0.0</v>
      </c>
      <c r="U33" s="10">
        <v>2.0</v>
      </c>
      <c r="V33" s="10">
        <v>10.23</v>
      </c>
      <c r="W33" s="10">
        <v>47.3</v>
      </c>
      <c r="X33" s="10">
        <v>50.01</v>
      </c>
      <c r="Y33" s="10">
        <v>0.0</v>
      </c>
    </row>
    <row r="34">
      <c r="B34" s="10">
        <v>125.0</v>
      </c>
      <c r="C34" s="10" t="s">
        <v>62</v>
      </c>
      <c r="D34" s="10" t="s">
        <v>69</v>
      </c>
      <c r="E34" s="10" t="s">
        <v>80</v>
      </c>
      <c r="F34" s="10" t="s">
        <v>125</v>
      </c>
      <c r="G34" s="10" t="s">
        <v>69</v>
      </c>
      <c r="H34" s="10">
        <v>8.0</v>
      </c>
      <c r="I34" s="10">
        <v>6.0</v>
      </c>
      <c r="J34" s="10">
        <v>1.0</v>
      </c>
      <c r="K34">
        <f>13.22+71.37+9.48</f>
        <v>94.07</v>
      </c>
      <c r="L34" s="10">
        <v>7.01</v>
      </c>
      <c r="M34" s="10">
        <v>19.77</v>
      </c>
      <c r="N34" s="10">
        <v>20.81</v>
      </c>
      <c r="O34" s="10">
        <v>13.64</v>
      </c>
      <c r="P34" s="10">
        <v>0.0</v>
      </c>
      <c r="Q34" s="10">
        <v>-1.83</v>
      </c>
      <c r="R34" s="10">
        <v>0.0</v>
      </c>
      <c r="S34" s="10">
        <v>2.0</v>
      </c>
      <c r="T34" s="10">
        <v>1.0</v>
      </c>
      <c r="U34" s="10">
        <v>2.0</v>
      </c>
      <c r="V34" s="10">
        <v>12.16</v>
      </c>
      <c r="W34" s="10">
        <v>60.4</v>
      </c>
      <c r="X34" s="10">
        <v>63.43</v>
      </c>
      <c r="Y34" s="10">
        <v>0.0</v>
      </c>
    </row>
    <row r="35">
      <c r="B35" s="10">
        <v>126.0</v>
      </c>
      <c r="C35" s="10" t="s">
        <v>62</v>
      </c>
      <c r="D35" s="10" t="s">
        <v>69</v>
      </c>
      <c r="E35" s="10" t="s">
        <v>80</v>
      </c>
      <c r="F35" s="10" t="s">
        <v>125</v>
      </c>
      <c r="G35" s="10" t="s">
        <v>69</v>
      </c>
      <c r="H35" s="10">
        <v>2.0</v>
      </c>
      <c r="I35" s="10">
        <v>5.0</v>
      </c>
      <c r="J35" s="10">
        <v>1.0</v>
      </c>
      <c r="K35" s="10">
        <v>26.74</v>
      </c>
      <c r="L35" s="10">
        <v>6.06</v>
      </c>
      <c r="M35" s="10">
        <v>17.78</v>
      </c>
      <c r="N35" s="10">
        <v>18.91</v>
      </c>
      <c r="O35" s="10">
        <v>12.74</v>
      </c>
      <c r="P35" s="10">
        <v>0.0</v>
      </c>
      <c r="Q35" s="10">
        <v>-1.65</v>
      </c>
      <c r="R35" s="10">
        <v>0.0</v>
      </c>
      <c r="S35" s="10">
        <v>2.0</v>
      </c>
      <c r="T35" s="10">
        <v>0.0</v>
      </c>
      <c r="U35" s="10">
        <v>3.0</v>
      </c>
      <c r="V35" s="10">
        <v>10.62</v>
      </c>
      <c r="W35" s="10">
        <v>48.72</v>
      </c>
      <c r="X35" s="10">
        <v>59.35</v>
      </c>
      <c r="Y35" s="10">
        <v>0.0</v>
      </c>
    </row>
    <row r="36">
      <c r="B36" s="10">
        <v>127.0</v>
      </c>
      <c r="C36" s="10" t="s">
        <v>62</v>
      </c>
      <c r="D36" s="10" t="s">
        <v>69</v>
      </c>
      <c r="E36" s="10" t="s">
        <v>80</v>
      </c>
      <c r="F36" s="10" t="s">
        <v>125</v>
      </c>
      <c r="G36" s="10" t="s">
        <v>69</v>
      </c>
      <c r="H36" s="10">
        <v>1.0</v>
      </c>
      <c r="I36" s="10">
        <v>4.0</v>
      </c>
      <c r="J36" s="10">
        <v>1.0</v>
      </c>
      <c r="K36" s="10">
        <v>24.42</v>
      </c>
      <c r="L36" s="10">
        <v>4.18</v>
      </c>
      <c r="M36" s="10">
        <v>17.19</v>
      </c>
      <c r="N36" s="10">
        <v>19.57</v>
      </c>
      <c r="O36" s="10">
        <v>15.82</v>
      </c>
      <c r="P36" s="10">
        <v>0.0</v>
      </c>
      <c r="Q36" s="10">
        <v>-1.42</v>
      </c>
      <c r="R36" s="10">
        <v>0.0</v>
      </c>
      <c r="S36" s="10">
        <v>2.0</v>
      </c>
      <c r="T36" s="10">
        <v>0.0</v>
      </c>
      <c r="U36" s="10">
        <v>3.0</v>
      </c>
      <c r="V36" s="10">
        <v>10.54</v>
      </c>
      <c r="W36" s="10">
        <v>40.7</v>
      </c>
      <c r="X36" s="10">
        <v>49.63</v>
      </c>
      <c r="Y36" s="10">
        <v>0.0</v>
      </c>
    </row>
    <row r="37">
      <c r="B37" s="10">
        <v>137.0</v>
      </c>
      <c r="C37" s="10" t="s">
        <v>62</v>
      </c>
      <c r="D37" s="10" t="s">
        <v>80</v>
      </c>
      <c r="E37" s="10" t="s">
        <v>80</v>
      </c>
      <c r="F37" s="10" t="s">
        <v>129</v>
      </c>
      <c r="G37" s="10" t="s">
        <v>80</v>
      </c>
      <c r="H37" s="10">
        <v>3.0</v>
      </c>
      <c r="I37" s="10">
        <v>4.0</v>
      </c>
      <c r="J37" s="10">
        <v>1.0</v>
      </c>
      <c r="K37" s="10">
        <v>13.29</v>
      </c>
      <c r="L37" s="10">
        <v>3.29</v>
      </c>
      <c r="M37" s="10">
        <v>18.33</v>
      </c>
      <c r="N37" s="10">
        <v>19.82</v>
      </c>
      <c r="O37" s="10">
        <v>13.59</v>
      </c>
      <c r="P37" s="10">
        <v>0.0</v>
      </c>
      <c r="Q37" s="10">
        <v>-2.15</v>
      </c>
      <c r="R37" s="10">
        <v>0.0</v>
      </c>
      <c r="S37" s="10">
        <v>4.0</v>
      </c>
      <c r="T37" s="10">
        <v>0.0</v>
      </c>
      <c r="U37" s="10">
        <v>1.0</v>
      </c>
      <c r="V37" s="10">
        <v>11.78</v>
      </c>
      <c r="W37" s="10">
        <v>59.14</v>
      </c>
      <c r="X37" s="10">
        <v>63.02</v>
      </c>
      <c r="Y37" s="10">
        <v>0.0</v>
      </c>
    </row>
    <row r="38">
      <c r="A38" s="10">
        <v>170824.0</v>
      </c>
      <c r="B38" s="10">
        <v>141.0</v>
      </c>
      <c r="C38" s="10" t="s">
        <v>62</v>
      </c>
      <c r="D38" s="10" t="s">
        <v>80</v>
      </c>
      <c r="E38" s="10" t="s">
        <v>80</v>
      </c>
      <c r="F38" s="10" t="s">
        <v>136</v>
      </c>
      <c r="G38" s="10" t="s">
        <v>77</v>
      </c>
      <c r="H38" s="10">
        <v>2.0</v>
      </c>
      <c r="I38" s="10">
        <v>5.0</v>
      </c>
      <c r="J38" s="10">
        <v>1.0</v>
      </c>
      <c r="K38" s="10">
        <v>28.37</v>
      </c>
      <c r="L38" s="10">
        <v>3.72</v>
      </c>
      <c r="M38" s="10">
        <v>17.16</v>
      </c>
      <c r="N38" s="10">
        <v>18.32</v>
      </c>
      <c r="O38" s="10">
        <v>14.87</v>
      </c>
      <c r="P38" s="10">
        <v>0.0</v>
      </c>
      <c r="Q38" s="10">
        <v>-1.67</v>
      </c>
      <c r="R38" s="10">
        <v>0.0</v>
      </c>
      <c r="S38" s="10">
        <v>2.0</v>
      </c>
      <c r="T38" s="10">
        <v>0.0</v>
      </c>
      <c r="U38" s="10">
        <v>3.0</v>
      </c>
      <c r="V38" s="10">
        <v>11.39</v>
      </c>
      <c r="W38" s="10">
        <v>53.97</v>
      </c>
      <c r="X38" s="10">
        <v>51.47</v>
      </c>
      <c r="Y38" s="10">
        <v>0.0</v>
      </c>
    </row>
    <row r="39">
      <c r="B39" s="10">
        <v>126.0</v>
      </c>
      <c r="C39" s="10" t="s">
        <v>62</v>
      </c>
      <c r="D39" s="10" t="s">
        <v>69</v>
      </c>
      <c r="E39" s="10" t="s">
        <v>80</v>
      </c>
      <c r="F39" s="10" t="s">
        <v>126</v>
      </c>
      <c r="G39" s="10" t="s">
        <v>48</v>
      </c>
      <c r="H39" s="10">
        <v>6.0</v>
      </c>
      <c r="I39" s="10">
        <v>7.0</v>
      </c>
      <c r="J39" s="10">
        <v>1.0</v>
      </c>
      <c r="K39">
        <f>79.91+16.03</f>
        <v>95.94</v>
      </c>
      <c r="L39" s="10">
        <v>6.85</v>
      </c>
      <c r="M39" s="10">
        <v>17.83</v>
      </c>
      <c r="N39" s="10">
        <v>19.15</v>
      </c>
      <c r="O39" s="10">
        <v>14.33</v>
      </c>
      <c r="P39" s="10">
        <v>0.0</v>
      </c>
      <c r="Q39" s="10">
        <v>-2.07</v>
      </c>
      <c r="R39" s="10">
        <v>0.0</v>
      </c>
      <c r="S39" s="10">
        <v>2.0</v>
      </c>
      <c r="T39" s="10">
        <v>0.0</v>
      </c>
      <c r="U39" s="10">
        <v>3.0</v>
      </c>
      <c r="V39" s="10">
        <v>11.15</v>
      </c>
      <c r="W39" s="10">
        <v>42.52</v>
      </c>
      <c r="X39" s="10">
        <v>58.83</v>
      </c>
      <c r="Y39" s="10">
        <v>0.0</v>
      </c>
    </row>
    <row r="40">
      <c r="B40" s="10">
        <v>121.0</v>
      </c>
      <c r="C40" s="10" t="s">
        <v>44</v>
      </c>
      <c r="D40" s="10" t="s">
        <v>77</v>
      </c>
      <c r="E40" s="10" t="s">
        <v>77</v>
      </c>
      <c r="F40" s="10" t="s">
        <v>136</v>
      </c>
      <c r="G40" s="10" t="s">
        <v>77</v>
      </c>
      <c r="H40" s="10">
        <v>2.0</v>
      </c>
      <c r="I40" s="10">
        <v>6.0</v>
      </c>
      <c r="J40" s="10">
        <v>1.0</v>
      </c>
      <c r="K40">
        <f>42.72+27.15</f>
        <v>69.87</v>
      </c>
      <c r="L40" s="10">
        <v>4.3</v>
      </c>
      <c r="M40" s="10">
        <v>18.06</v>
      </c>
      <c r="N40" s="10">
        <v>19.18</v>
      </c>
      <c r="O40" s="10">
        <v>14.58</v>
      </c>
      <c r="P40" s="10">
        <v>0.0</v>
      </c>
      <c r="Q40" s="10">
        <v>-1.63</v>
      </c>
      <c r="R40" s="10">
        <v>0.0</v>
      </c>
      <c r="S40" s="10">
        <v>3.0</v>
      </c>
      <c r="T40" s="10">
        <v>0.0</v>
      </c>
      <c r="U40" s="10">
        <v>2.0</v>
      </c>
      <c r="V40" s="10">
        <v>11.47</v>
      </c>
      <c r="W40" s="10">
        <v>46.14</v>
      </c>
      <c r="X40" s="10">
        <v>48.28</v>
      </c>
      <c r="Y40" s="10">
        <v>0.0</v>
      </c>
    </row>
    <row r="41">
      <c r="A41" s="10">
        <v>170822.0</v>
      </c>
      <c r="B41" s="10">
        <v>122.0</v>
      </c>
      <c r="C41" s="10" t="s">
        <v>44</v>
      </c>
      <c r="D41" s="10" t="s">
        <v>77</v>
      </c>
      <c r="E41" s="10" t="s">
        <v>77</v>
      </c>
      <c r="F41" s="10" t="s">
        <v>136</v>
      </c>
      <c r="G41" s="10" t="s">
        <v>77</v>
      </c>
      <c r="H41" s="10">
        <v>4.0</v>
      </c>
      <c r="I41" s="10">
        <v>3.0</v>
      </c>
      <c r="J41" s="10">
        <v>1.0</v>
      </c>
      <c r="K41" s="10">
        <v>29.54</v>
      </c>
      <c r="L41" s="10">
        <v>3.5</v>
      </c>
      <c r="M41" s="10">
        <v>16.63</v>
      </c>
      <c r="N41" s="10">
        <v>18.5</v>
      </c>
      <c r="O41" s="10">
        <v>17.24</v>
      </c>
      <c r="P41" s="10">
        <v>0.0</v>
      </c>
      <c r="Q41" s="10">
        <v>-2.29</v>
      </c>
      <c r="R41" s="10">
        <v>0.0</v>
      </c>
      <c r="S41" s="10">
        <v>4.0</v>
      </c>
      <c r="T41" s="10">
        <v>0.0</v>
      </c>
      <c r="U41" s="10">
        <v>1.0</v>
      </c>
      <c r="V41" s="10">
        <v>11.05</v>
      </c>
      <c r="W41" s="10">
        <v>48.16</v>
      </c>
      <c r="X41" s="10">
        <v>52.28</v>
      </c>
      <c r="Y41" s="10">
        <v>0.0</v>
      </c>
    </row>
    <row r="42">
      <c r="B42" s="10">
        <v>135.0</v>
      </c>
      <c r="C42" s="10" t="s">
        <v>44</v>
      </c>
      <c r="D42" s="10" t="s">
        <v>77</v>
      </c>
      <c r="E42" s="10" t="s">
        <v>77</v>
      </c>
      <c r="F42" s="10" t="s">
        <v>136</v>
      </c>
      <c r="G42" s="10" t="s">
        <v>77</v>
      </c>
      <c r="H42" s="10">
        <v>4.0</v>
      </c>
      <c r="I42" s="10">
        <v>3.0</v>
      </c>
      <c r="J42" s="10">
        <v>1.0</v>
      </c>
      <c r="K42" s="10">
        <v>40.68</v>
      </c>
      <c r="L42" s="10">
        <v>2.9</v>
      </c>
      <c r="M42" s="10">
        <v>16.45</v>
      </c>
      <c r="N42" s="10">
        <v>19.39</v>
      </c>
      <c r="O42" s="10">
        <v>17.84</v>
      </c>
      <c r="P42" s="10">
        <v>0.0</v>
      </c>
      <c r="Q42" s="10">
        <v>-1.66</v>
      </c>
      <c r="R42" s="10">
        <v>0.0</v>
      </c>
      <c r="S42" s="10">
        <v>3.0</v>
      </c>
      <c r="T42" s="10">
        <v>0.0</v>
      </c>
      <c r="U42" s="10">
        <v>2.0</v>
      </c>
      <c r="V42" s="10">
        <v>10.39</v>
      </c>
      <c r="W42" s="10">
        <v>68.48</v>
      </c>
      <c r="X42" s="10">
        <v>75.36</v>
      </c>
      <c r="Y42" s="10">
        <v>0.0</v>
      </c>
    </row>
    <row r="43">
      <c r="B43" s="10">
        <v>136.0</v>
      </c>
      <c r="C43" s="10" t="s">
        <v>62</v>
      </c>
      <c r="D43" s="10" t="s">
        <v>80</v>
      </c>
      <c r="E43" s="10" t="s">
        <v>80</v>
      </c>
      <c r="F43" s="10" t="s">
        <v>129</v>
      </c>
      <c r="G43" s="10" t="s">
        <v>80</v>
      </c>
      <c r="H43" s="10">
        <v>1.0</v>
      </c>
      <c r="I43" s="10">
        <v>2.0</v>
      </c>
      <c r="J43" s="10">
        <v>1.0</v>
      </c>
      <c r="K43" s="10">
        <v>13.5</v>
      </c>
      <c r="L43" s="10">
        <v>1.98</v>
      </c>
      <c r="M43" s="10">
        <v>15.65</v>
      </c>
      <c r="N43" s="10">
        <v>16.97</v>
      </c>
      <c r="O43" s="10">
        <v>15.65</v>
      </c>
      <c r="P43" s="10">
        <v>0.0</v>
      </c>
      <c r="Q43" s="10">
        <v>-1.63</v>
      </c>
      <c r="R43" s="10">
        <v>0.0</v>
      </c>
      <c r="S43" s="10">
        <v>4.0</v>
      </c>
      <c r="T43" s="10">
        <v>0.0</v>
      </c>
      <c r="U43" s="10">
        <v>1.0</v>
      </c>
      <c r="V43" s="10">
        <v>11.29</v>
      </c>
      <c r="W43" s="10">
        <v>46.71</v>
      </c>
      <c r="X43" s="10">
        <v>52.06</v>
      </c>
      <c r="Y43" s="10">
        <v>0.0</v>
      </c>
    </row>
    <row r="44">
      <c r="A44" s="10">
        <v>170826.0</v>
      </c>
      <c r="B44" s="10">
        <v>126.0</v>
      </c>
      <c r="C44" s="10" t="s">
        <v>44</v>
      </c>
      <c r="D44" s="10" t="s">
        <v>48</v>
      </c>
      <c r="E44" s="10" t="s">
        <v>77</v>
      </c>
      <c r="F44" s="10" t="s">
        <v>126</v>
      </c>
      <c r="G44" s="10" t="s">
        <v>48</v>
      </c>
      <c r="H44" s="10">
        <v>6.0</v>
      </c>
      <c r="I44" s="10">
        <v>6.0</v>
      </c>
      <c r="J44" s="10">
        <v>1.0</v>
      </c>
      <c r="K44" s="10">
        <v>87.43</v>
      </c>
      <c r="L44" s="10">
        <v>7.91</v>
      </c>
      <c r="M44" s="10">
        <v>20.53</v>
      </c>
      <c r="N44" s="10">
        <v>23.39</v>
      </c>
      <c r="O44" s="10">
        <v>18.69</v>
      </c>
      <c r="P44" s="10">
        <v>0.0</v>
      </c>
      <c r="Q44" s="10">
        <v>-2.55</v>
      </c>
      <c r="R44" s="10">
        <v>0.0</v>
      </c>
      <c r="S44" s="10">
        <v>3.0</v>
      </c>
      <c r="T44" s="10">
        <v>0.0</v>
      </c>
      <c r="U44" s="10">
        <v>2.0</v>
      </c>
      <c r="V44" s="10">
        <v>12.73</v>
      </c>
      <c r="W44" s="10">
        <v>34.01</v>
      </c>
      <c r="X44" s="10">
        <v>48.06</v>
      </c>
      <c r="Y44" s="10">
        <v>0.0</v>
      </c>
    </row>
    <row r="45">
      <c r="B45" s="10">
        <v>125.0</v>
      </c>
      <c r="C45" s="10" t="s">
        <v>44</v>
      </c>
      <c r="D45" s="10" t="s">
        <v>48</v>
      </c>
      <c r="E45" s="10" t="s">
        <v>77</v>
      </c>
      <c r="F45" s="10" t="s">
        <v>126</v>
      </c>
      <c r="G45" s="10" t="s">
        <v>48</v>
      </c>
      <c r="H45" s="10">
        <v>1.0</v>
      </c>
      <c r="I45" s="10">
        <v>8.0</v>
      </c>
      <c r="J45" s="10">
        <v>1.0</v>
      </c>
      <c r="K45">
        <f>78.25+11.2</f>
        <v>89.45</v>
      </c>
      <c r="L45" s="10">
        <v>4.97</v>
      </c>
      <c r="M45" s="10">
        <v>17.33</v>
      </c>
      <c r="N45" s="10">
        <v>18.99</v>
      </c>
      <c r="O45" s="10">
        <v>13.69</v>
      </c>
      <c r="P45" s="10">
        <v>0.0</v>
      </c>
      <c r="Q45" s="10">
        <v>-2.04</v>
      </c>
      <c r="R45" s="10">
        <v>0.0</v>
      </c>
      <c r="S45" s="10">
        <v>2.0</v>
      </c>
      <c r="T45" s="10">
        <v>1.0</v>
      </c>
      <c r="U45" s="10">
        <v>2.0</v>
      </c>
      <c r="V45" s="10">
        <v>10.37</v>
      </c>
      <c r="W45" s="10">
        <v>70.58</v>
      </c>
      <c r="X45" s="10">
        <v>65.86</v>
      </c>
      <c r="Y45" s="10">
        <v>0.0</v>
      </c>
    </row>
    <row r="46">
      <c r="B46" s="10">
        <v>131.0</v>
      </c>
      <c r="C46" s="10" t="s">
        <v>62</v>
      </c>
      <c r="D46" s="10" t="s">
        <v>69</v>
      </c>
      <c r="E46" s="10" t="s">
        <v>80</v>
      </c>
      <c r="F46" s="10" t="s">
        <v>125</v>
      </c>
      <c r="G46" s="10" t="s">
        <v>48</v>
      </c>
      <c r="H46" s="10">
        <v>5.0</v>
      </c>
      <c r="I46" s="10">
        <v>7.0</v>
      </c>
      <c r="J46" s="10">
        <v>1.0</v>
      </c>
      <c r="K46">
        <f>55.14+7.33</f>
        <v>62.47</v>
      </c>
      <c r="L46" s="10">
        <v>7.33</v>
      </c>
      <c r="M46" s="10">
        <v>17.98</v>
      </c>
      <c r="N46" s="10">
        <v>20.43</v>
      </c>
      <c r="O46" s="10">
        <v>19.64</v>
      </c>
      <c r="P46" s="10">
        <v>0.0</v>
      </c>
      <c r="Q46" s="10">
        <v>-1.59</v>
      </c>
      <c r="R46" s="10">
        <v>0.0</v>
      </c>
      <c r="S46" s="10">
        <v>2.0</v>
      </c>
      <c r="T46" s="10">
        <v>0.0</v>
      </c>
      <c r="U46" s="10">
        <v>3.0</v>
      </c>
      <c r="V46" s="10">
        <v>10.69</v>
      </c>
      <c r="W46" s="10">
        <v>49.03</v>
      </c>
      <c r="X46" s="10">
        <v>52.31</v>
      </c>
      <c r="Y46" s="10">
        <v>0.0</v>
      </c>
    </row>
    <row r="47">
      <c r="B47" s="10">
        <v>135.0</v>
      </c>
      <c r="C47" s="10" t="s">
        <v>62</v>
      </c>
      <c r="D47" s="10" t="s">
        <v>80</v>
      </c>
      <c r="E47" s="10" t="s">
        <v>80</v>
      </c>
      <c r="F47" s="10" t="s">
        <v>129</v>
      </c>
      <c r="G47" s="10" t="s">
        <v>80</v>
      </c>
      <c r="H47" s="10">
        <v>1.0</v>
      </c>
      <c r="I47" s="10">
        <v>4.0</v>
      </c>
      <c r="J47" s="10">
        <v>1.0</v>
      </c>
      <c r="K47" s="10">
        <v>42.4</v>
      </c>
      <c r="L47" s="10">
        <v>4.79</v>
      </c>
      <c r="M47" s="10">
        <v>17.47</v>
      </c>
      <c r="N47" s="10">
        <v>19.88</v>
      </c>
      <c r="O47" s="10">
        <v>17.09</v>
      </c>
      <c r="P47" s="10">
        <v>0.0</v>
      </c>
      <c r="Q47" s="10">
        <v>-1.69</v>
      </c>
      <c r="R47" s="10">
        <v>0.0</v>
      </c>
      <c r="S47" s="10">
        <v>2.0</v>
      </c>
      <c r="T47" s="10">
        <v>0.0</v>
      </c>
      <c r="U47" s="10">
        <v>3.0</v>
      </c>
      <c r="V47" s="10">
        <v>11.72</v>
      </c>
      <c r="W47" s="10">
        <v>56.89</v>
      </c>
      <c r="X47" s="10">
        <v>65.62</v>
      </c>
      <c r="Y47" s="10">
        <v>0.0</v>
      </c>
    </row>
    <row r="48">
      <c r="A48" s="10">
        <v>170827.0</v>
      </c>
      <c r="B48" s="10">
        <v>136.0</v>
      </c>
      <c r="C48" s="10" t="s">
        <v>44</v>
      </c>
      <c r="D48" s="10" t="s">
        <v>77</v>
      </c>
      <c r="E48" s="10" t="s">
        <v>77</v>
      </c>
      <c r="F48" s="10" t="s">
        <v>136</v>
      </c>
      <c r="G48" s="10" t="s">
        <v>77</v>
      </c>
      <c r="H48" s="10">
        <v>2.0</v>
      </c>
      <c r="I48" s="10">
        <v>3.0</v>
      </c>
      <c r="J48" s="10">
        <v>1.0</v>
      </c>
      <c r="K48" s="10">
        <v>25.39</v>
      </c>
      <c r="L48" s="10">
        <v>1.99</v>
      </c>
      <c r="M48" s="10">
        <v>16.98</v>
      </c>
      <c r="N48" s="10">
        <v>19.52</v>
      </c>
      <c r="O48" s="10">
        <v>16.61</v>
      </c>
      <c r="P48" s="10">
        <v>-0.5</v>
      </c>
      <c r="Q48" s="10">
        <v>-1.76</v>
      </c>
      <c r="R48" s="10">
        <v>-0.9</v>
      </c>
      <c r="S48" s="10">
        <v>5.0</v>
      </c>
      <c r="T48" s="10">
        <v>0.0</v>
      </c>
      <c r="U48" s="10">
        <v>0.0</v>
      </c>
      <c r="V48" s="10">
        <v>11.33</v>
      </c>
      <c r="W48" s="10">
        <v>56.45</v>
      </c>
      <c r="X48" s="10">
        <v>57.78</v>
      </c>
      <c r="Y48" s="10">
        <v>0.0</v>
      </c>
    </row>
    <row r="49">
      <c r="B49" s="10">
        <v>135.0</v>
      </c>
      <c r="C49" s="10" t="s">
        <v>62</v>
      </c>
      <c r="D49" s="10" t="s">
        <v>80</v>
      </c>
      <c r="E49" s="10" t="s">
        <v>80</v>
      </c>
      <c r="F49" s="10" t="s">
        <v>129</v>
      </c>
      <c r="G49" s="10" t="s">
        <v>80</v>
      </c>
      <c r="H49" s="10">
        <v>1.0</v>
      </c>
      <c r="I49" s="10">
        <v>4.0</v>
      </c>
      <c r="J49" s="10">
        <v>1.0</v>
      </c>
      <c r="K49">
        <f>32.09+25.92</f>
        <v>58.01</v>
      </c>
      <c r="L49" s="10">
        <v>5.12</v>
      </c>
      <c r="M49" s="10">
        <v>15.73</v>
      </c>
      <c r="N49" s="10">
        <v>18.11</v>
      </c>
      <c r="O49" s="10">
        <v>13.58</v>
      </c>
      <c r="P49" s="10">
        <v>0.0</v>
      </c>
      <c r="Q49" s="10">
        <v>-1.69</v>
      </c>
      <c r="R49" s="10">
        <v>0.0</v>
      </c>
      <c r="S49" s="10">
        <v>3.0</v>
      </c>
      <c r="T49" s="10">
        <v>0.0</v>
      </c>
      <c r="U49" s="10">
        <v>2.0</v>
      </c>
      <c r="V49" s="10">
        <v>11.28</v>
      </c>
      <c r="W49" s="10">
        <v>45.5</v>
      </c>
      <c r="X49" s="10">
        <v>52.14</v>
      </c>
      <c r="Y49" s="10">
        <v>0.0</v>
      </c>
    </row>
    <row r="50">
      <c r="B50" s="10">
        <v>131.0</v>
      </c>
      <c r="C50" s="10" t="s">
        <v>62</v>
      </c>
      <c r="D50" s="10" t="s">
        <v>69</v>
      </c>
      <c r="E50" s="10" t="s">
        <v>80</v>
      </c>
      <c r="F50" s="10" t="s">
        <v>125</v>
      </c>
      <c r="G50" s="10" t="s">
        <v>69</v>
      </c>
      <c r="H50" s="10">
        <v>1.0</v>
      </c>
      <c r="I50" s="10">
        <v>9.0</v>
      </c>
      <c r="J50" s="10">
        <v>1.0</v>
      </c>
      <c r="K50">
        <f>50.22+7.16</f>
        <v>57.38</v>
      </c>
      <c r="L50" s="10">
        <v>4.79</v>
      </c>
      <c r="M50" s="10">
        <v>15.67</v>
      </c>
      <c r="N50" s="10">
        <v>19.05</v>
      </c>
      <c r="O50" s="10">
        <v>16.4</v>
      </c>
      <c r="P50" s="10">
        <v>0.0</v>
      </c>
      <c r="Q50" s="10">
        <v>-2.0</v>
      </c>
      <c r="R50" s="10">
        <v>0.0</v>
      </c>
      <c r="S50" s="10">
        <v>2.0</v>
      </c>
      <c r="T50" s="10">
        <v>1.0</v>
      </c>
      <c r="U50" s="10">
        <v>2.0</v>
      </c>
      <c r="V50" s="10">
        <v>10.81</v>
      </c>
      <c r="W50" s="10">
        <v>56.76</v>
      </c>
      <c r="X50" s="10">
        <v>67.33</v>
      </c>
      <c r="Y50" s="10">
        <v>0.0</v>
      </c>
    </row>
    <row r="51">
      <c r="B51" s="10">
        <v>127.0</v>
      </c>
      <c r="C51" s="10" t="s">
        <v>62</v>
      </c>
      <c r="D51" s="10" t="s">
        <v>69</v>
      </c>
      <c r="E51" s="10" t="s">
        <v>80</v>
      </c>
      <c r="F51" s="10" t="s">
        <v>125</v>
      </c>
      <c r="G51" s="10" t="s">
        <v>69</v>
      </c>
      <c r="H51" s="10">
        <v>9.0</v>
      </c>
      <c r="I51" s="10">
        <v>7.0</v>
      </c>
      <c r="J51" s="10">
        <v>1.0</v>
      </c>
      <c r="K51" s="10">
        <v>57.05</v>
      </c>
      <c r="L51" s="10">
        <v>5.89</v>
      </c>
      <c r="M51" s="10">
        <v>19.86</v>
      </c>
      <c r="N51" s="10">
        <v>21.53</v>
      </c>
      <c r="O51" s="10">
        <v>14.97</v>
      </c>
      <c r="P51" s="10">
        <v>0.0</v>
      </c>
      <c r="Q51" s="10">
        <v>-2.55</v>
      </c>
      <c r="R51" s="10">
        <v>0.0</v>
      </c>
      <c r="S51" s="10">
        <v>3.0</v>
      </c>
      <c r="T51" s="10">
        <v>0.0</v>
      </c>
      <c r="U51" s="10">
        <v>2.0</v>
      </c>
      <c r="V51" s="10">
        <v>11.17</v>
      </c>
      <c r="W51" s="10">
        <v>45.15</v>
      </c>
      <c r="X51" s="10">
        <v>56.57</v>
      </c>
      <c r="Y51" s="10">
        <v>0.0</v>
      </c>
    </row>
    <row r="52">
      <c r="A52" s="10">
        <v>170828.0</v>
      </c>
      <c r="B52" s="10">
        <v>125.0</v>
      </c>
      <c r="C52" s="10" t="s">
        <v>44</v>
      </c>
      <c r="D52" s="10" t="s">
        <v>48</v>
      </c>
      <c r="E52" s="10" t="s">
        <v>77</v>
      </c>
      <c r="F52" s="10" t="s">
        <v>126</v>
      </c>
      <c r="G52" s="10" t="s">
        <v>48</v>
      </c>
      <c r="H52" s="10">
        <v>3.0</v>
      </c>
      <c r="I52" s="10">
        <v>7.0</v>
      </c>
      <c r="J52" s="10">
        <v>1.0</v>
      </c>
      <c r="K52">
        <f>73.84+6.54</f>
        <v>80.38</v>
      </c>
      <c r="L52" s="10">
        <v>6.54</v>
      </c>
      <c r="M52" s="10">
        <v>21.26</v>
      </c>
      <c r="N52" s="10">
        <v>21.93</v>
      </c>
      <c r="O52" s="10">
        <v>14.51</v>
      </c>
      <c r="P52" s="10">
        <v>0.0</v>
      </c>
      <c r="Q52" s="10">
        <v>-1.86</v>
      </c>
      <c r="R52" s="10">
        <v>0.0</v>
      </c>
      <c r="S52" s="10">
        <v>3.0</v>
      </c>
      <c r="T52" s="10">
        <v>0.0</v>
      </c>
      <c r="U52" s="10">
        <v>2.0</v>
      </c>
      <c r="V52" s="10">
        <v>11.61</v>
      </c>
      <c r="W52" s="10">
        <v>39.28</v>
      </c>
      <c r="X52" s="10">
        <v>58.34</v>
      </c>
      <c r="Y52" s="10">
        <v>0.0</v>
      </c>
    </row>
    <row r="53">
      <c r="A53" s="10">
        <v>170906.0</v>
      </c>
      <c r="B53" s="10">
        <v>127.0</v>
      </c>
      <c r="C53" s="10" t="s">
        <v>44</v>
      </c>
      <c r="D53" s="10" t="s">
        <v>48</v>
      </c>
      <c r="E53" s="10" t="s">
        <v>77</v>
      </c>
      <c r="F53" s="10" t="s">
        <v>126</v>
      </c>
      <c r="G53" s="10" t="s">
        <v>48</v>
      </c>
      <c r="H53" s="10">
        <v>6.0</v>
      </c>
      <c r="I53" s="10">
        <v>5.0</v>
      </c>
      <c r="J53" s="10">
        <v>1.0</v>
      </c>
      <c r="K53" s="10">
        <v>42.19</v>
      </c>
      <c r="L53" s="10">
        <v>6.5</v>
      </c>
      <c r="M53" s="10">
        <v>19.6</v>
      </c>
      <c r="N53" s="10">
        <v>20.58</v>
      </c>
      <c r="O53" s="10">
        <v>17.78</v>
      </c>
      <c r="P53" s="10">
        <v>0.0</v>
      </c>
      <c r="Q53" s="10">
        <v>-2.51</v>
      </c>
      <c r="R53" s="10">
        <v>0.0</v>
      </c>
      <c r="S53" s="10">
        <v>3.0</v>
      </c>
      <c r="T53" s="10">
        <v>0.0</v>
      </c>
      <c r="U53" s="10">
        <v>2.0</v>
      </c>
      <c r="V53" s="10">
        <v>11.18</v>
      </c>
      <c r="W53" s="10">
        <v>36.12</v>
      </c>
      <c r="X53" s="10">
        <v>37.71</v>
      </c>
      <c r="Y53" s="10">
        <v>0.0</v>
      </c>
    </row>
    <row r="54">
      <c r="A54" s="10">
        <v>171103.0</v>
      </c>
      <c r="B54" s="10">
        <v>142.0</v>
      </c>
      <c r="C54" s="10" t="s">
        <v>44</v>
      </c>
      <c r="D54" s="10" t="s">
        <v>77</v>
      </c>
      <c r="E54" s="10" t="s">
        <v>77</v>
      </c>
      <c r="F54" s="10" t="s">
        <v>136</v>
      </c>
      <c r="G54" s="10" t="s">
        <v>77</v>
      </c>
      <c r="H54" s="10">
        <v>1.0</v>
      </c>
      <c r="I54" s="10">
        <v>2.0</v>
      </c>
      <c r="J54" s="10">
        <v>1.0</v>
      </c>
      <c r="K54" s="10">
        <v>27.46</v>
      </c>
      <c r="L54" s="10">
        <v>2.49</v>
      </c>
      <c r="M54" s="10">
        <v>14.78</v>
      </c>
      <c r="N54" s="10">
        <v>18.07</v>
      </c>
      <c r="O54" s="10">
        <v>15.4</v>
      </c>
      <c r="P54" s="10">
        <v>-0.5</v>
      </c>
      <c r="Q54" s="10">
        <v>-2.82</v>
      </c>
      <c r="R54" s="10">
        <v>0.0</v>
      </c>
      <c r="S54" s="10">
        <v>4.0</v>
      </c>
      <c r="T54" s="10">
        <v>0.0</v>
      </c>
      <c r="U54" s="10">
        <v>1.0</v>
      </c>
      <c r="V54" s="10">
        <v>11.24</v>
      </c>
      <c r="W54" s="10">
        <v>46.46</v>
      </c>
      <c r="X54" s="10">
        <v>5.0</v>
      </c>
      <c r="Y54" s="10">
        <v>0.0</v>
      </c>
    </row>
    <row r="55">
      <c r="A55" s="16">
        <v>43088.0</v>
      </c>
      <c r="B55" s="10">
        <v>142.0</v>
      </c>
      <c r="C55" s="10" t="s">
        <v>80</v>
      </c>
      <c r="D55" s="10" t="s">
        <v>80</v>
      </c>
      <c r="E55" s="10" t="s">
        <v>80</v>
      </c>
      <c r="F55" s="10" t="s">
        <v>117</v>
      </c>
      <c r="G55" s="10" t="s">
        <v>80</v>
      </c>
      <c r="H55" s="10">
        <v>1.0</v>
      </c>
      <c r="I55" s="10">
        <v>4.0</v>
      </c>
      <c r="J55" s="10">
        <v>1.0</v>
      </c>
      <c r="K55" s="10">
        <v>30.24</v>
      </c>
      <c r="L55" s="10">
        <v>3.54</v>
      </c>
      <c r="M55" s="10">
        <v>13.01</v>
      </c>
      <c r="N55" s="10">
        <v>15.78</v>
      </c>
      <c r="O55" s="10">
        <v>15.11</v>
      </c>
      <c r="P55" s="10">
        <v>0.0</v>
      </c>
      <c r="Q55" s="10">
        <v>-1.85</v>
      </c>
      <c r="R55" s="10">
        <v>0.0</v>
      </c>
      <c r="S55" s="10">
        <v>3.0</v>
      </c>
      <c r="T55" s="10">
        <v>0.0</v>
      </c>
      <c r="U55" s="10">
        <v>2.0</v>
      </c>
      <c r="V55" s="10">
        <v>9.24</v>
      </c>
      <c r="W55" s="10">
        <v>39.95</v>
      </c>
      <c r="X55" s="10">
        <v>43.16</v>
      </c>
      <c r="Y55" s="10">
        <v>0.0</v>
      </c>
    </row>
  </sheetData>
  <drawing r:id="rId1"/>
</worksheet>
</file>