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\polybox\Shared\Sabrina+Greg+Nicco\Raw data\"/>
    </mc:Choice>
  </mc:AlternateContent>
  <xr:revisionPtr revIDLastSave="0" documentId="13_ncr:1_{01EC90B2-8395-4CE2-B4D8-8C2174D22529}" xr6:coauthVersionLast="47" xr6:coauthVersionMax="47" xr10:uidLastSave="{00000000-0000-0000-0000-000000000000}"/>
  <bookViews>
    <workbookView xWindow="-98" yWindow="-98" windowWidth="21795" windowHeight="13875" xr2:uid="{5A8E74A2-3AB4-44E6-9BC7-2EAC32F97AB3}"/>
  </bookViews>
  <sheets>
    <sheet name="Panel A +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" i="1" l="1"/>
  <c r="AF27" i="1"/>
  <c r="AF26" i="1"/>
  <c r="AF21" i="1"/>
  <c r="AF22" i="1"/>
  <c r="AF20" i="1"/>
  <c r="R18" i="1" l="1"/>
  <c r="R23" i="1"/>
  <c r="R22" i="1"/>
  <c r="R17" i="1" l="1"/>
  <c r="R24" i="1"/>
  <c r="R19" i="1"/>
  <c r="V8" i="1"/>
  <c r="M8" i="1"/>
  <c r="Q7" i="1"/>
  <c r="I11" i="1"/>
  <c r="J11" i="1" s="1"/>
  <c r="H11" i="1"/>
  <c r="Q11" i="1" s="1"/>
  <c r="F11" i="1"/>
  <c r="P11" i="1" s="1"/>
  <c r="E11" i="1"/>
  <c r="O11" i="1" s="1"/>
  <c r="C11" i="1"/>
  <c r="N11" i="1" s="1"/>
  <c r="B11" i="1"/>
  <c r="M11" i="1" s="1"/>
  <c r="I10" i="1"/>
  <c r="H10" i="1"/>
  <c r="Q10" i="1" s="1"/>
  <c r="F10" i="1"/>
  <c r="P10" i="1" s="1"/>
  <c r="E10" i="1"/>
  <c r="O10" i="1" s="1"/>
  <c r="C10" i="1"/>
  <c r="N10" i="1" s="1"/>
  <c r="B10" i="1"/>
  <c r="M10" i="1" s="1"/>
  <c r="I9" i="1"/>
  <c r="R9" i="1" s="1"/>
  <c r="H9" i="1"/>
  <c r="Q9" i="1" s="1"/>
  <c r="F9" i="1"/>
  <c r="E9" i="1"/>
  <c r="O9" i="1" s="1"/>
  <c r="C9" i="1"/>
  <c r="N9" i="1" s="1"/>
  <c r="B9" i="1"/>
  <c r="M9" i="1" s="1"/>
  <c r="I8" i="1"/>
  <c r="J8" i="1" s="1"/>
  <c r="H8" i="1"/>
  <c r="Q8" i="1" s="1"/>
  <c r="F8" i="1"/>
  <c r="P8" i="1" s="1"/>
  <c r="E8" i="1"/>
  <c r="O8" i="1" s="1"/>
  <c r="C8" i="1"/>
  <c r="N8" i="1" s="1"/>
  <c r="B8" i="1"/>
  <c r="E7" i="1"/>
  <c r="O7" i="1" s="1"/>
  <c r="B7" i="1"/>
  <c r="M7" i="1" s="1"/>
  <c r="Y7" i="1" s="1"/>
  <c r="Z7" i="1" s="1"/>
  <c r="H6" i="1"/>
  <c r="Q6" i="1" s="1"/>
  <c r="E6" i="1"/>
  <c r="O6" i="1" s="1"/>
  <c r="B6" i="1"/>
  <c r="M6" i="1" s="1"/>
  <c r="H5" i="1"/>
  <c r="Q5" i="1" s="1"/>
  <c r="E5" i="1"/>
  <c r="O5" i="1" s="1"/>
  <c r="B5" i="1"/>
  <c r="M5" i="1" s="1"/>
  <c r="H4" i="1"/>
  <c r="Q4" i="1" s="1"/>
  <c r="E4" i="1"/>
  <c r="O4" i="1" s="1"/>
  <c r="B4" i="1"/>
  <c r="M4" i="1" s="1"/>
  <c r="H3" i="1"/>
  <c r="Q3" i="1" s="1"/>
  <c r="E3" i="1"/>
  <c r="O3" i="1" s="1"/>
  <c r="B3" i="1"/>
  <c r="M3" i="1" s="1"/>
  <c r="Y5" i="1" l="1"/>
  <c r="Z5" i="1" s="1"/>
  <c r="R8" i="1"/>
  <c r="AA8" i="1" s="1"/>
  <c r="AB8" i="1" s="1"/>
  <c r="G9" i="1"/>
  <c r="Y8" i="1"/>
  <c r="Z8" i="1" s="1"/>
  <c r="V6" i="1"/>
  <c r="Y6" i="1"/>
  <c r="Z6" i="1" s="1"/>
  <c r="Y3" i="1"/>
  <c r="Z3" i="1" s="1"/>
  <c r="V10" i="1"/>
  <c r="Y4" i="1"/>
  <c r="Z4" i="1" s="1"/>
  <c r="V4" i="1"/>
  <c r="V9" i="1"/>
  <c r="Y9" i="1"/>
  <c r="Z9" i="1" s="1"/>
  <c r="Y10" i="1"/>
  <c r="Z10" i="1" s="1"/>
  <c r="V11" i="1"/>
  <c r="Y11" i="1"/>
  <c r="Z11" i="1" s="1"/>
  <c r="R11" i="1"/>
  <c r="W11" i="1" s="1"/>
  <c r="V3" i="1"/>
  <c r="G8" i="1"/>
  <c r="D10" i="1"/>
  <c r="J10" i="1"/>
  <c r="V5" i="1"/>
  <c r="D9" i="1"/>
  <c r="J9" i="1"/>
  <c r="G11" i="1"/>
  <c r="P9" i="1"/>
  <c r="W9" i="1" s="1"/>
  <c r="R10" i="1"/>
  <c r="W10" i="1" s="1"/>
  <c r="V7" i="1"/>
  <c r="D8" i="1"/>
  <c r="G10" i="1"/>
  <c r="D11" i="1"/>
  <c r="W8" i="1"/>
  <c r="AA10" i="1" l="1"/>
  <c r="AB10" i="1" s="1"/>
  <c r="AA11" i="1"/>
  <c r="AB11" i="1" s="1"/>
  <c r="X9" i="1"/>
  <c r="AC9" i="1"/>
  <c r="AD9" i="1" s="1"/>
  <c r="X10" i="1"/>
  <c r="AC10" i="1"/>
  <c r="AD10" i="1" s="1"/>
  <c r="AA9" i="1"/>
  <c r="AB9" i="1" s="1"/>
  <c r="AC11" i="1"/>
  <c r="AD11" i="1" s="1"/>
  <c r="X11" i="1"/>
  <c r="AC8" i="1"/>
  <c r="AD8" i="1" s="1"/>
  <c r="X8" i="1"/>
</calcChain>
</file>

<file path=xl/sharedStrings.xml><?xml version="1.0" encoding="utf-8"?>
<sst xmlns="http://schemas.openxmlformats.org/spreadsheetml/2006/main" count="169" uniqueCount="66">
  <si>
    <t>Rep 1</t>
  </si>
  <si>
    <t>Rep 2</t>
  </si>
  <si>
    <t>Rep 3</t>
  </si>
  <si>
    <t>Kana</t>
  </si>
  <si>
    <t>% Cheater</t>
  </si>
  <si>
    <t>GJV1</t>
  </si>
  <si>
    <t>GVA7</t>
  </si>
  <si>
    <t>YTY2</t>
  </si>
  <si>
    <t>1/100 GJV1</t>
  </si>
  <si>
    <t>1/100 YTY2</t>
  </si>
  <si>
    <t>Log</t>
  </si>
  <si>
    <t>Average</t>
  </si>
  <si>
    <t>No Kanamycin</t>
  </si>
  <si>
    <t>Kanamycin</t>
  </si>
  <si>
    <t>Standard dev no kana</t>
  </si>
  <si>
    <t>confidence interval no kana</t>
  </si>
  <si>
    <t>standard dev kana</t>
  </si>
  <si>
    <t>confidence interval kana</t>
  </si>
  <si>
    <t>standard dev % cheater</t>
  </si>
  <si>
    <t>confidence interval % cheater</t>
  </si>
  <si>
    <t>YTY26</t>
  </si>
  <si>
    <t>YTY25</t>
  </si>
  <si>
    <t>1/100 YTY25</t>
  </si>
  <si>
    <t>1/100 YTY26</t>
  </si>
  <si>
    <t>p-values:</t>
  </si>
  <si>
    <t>Absolute spore counts</t>
  </si>
  <si>
    <t>% cheater</t>
  </si>
  <si>
    <t>Anova: Single Factor</t>
  </si>
  <si>
    <t>SUMMARY</t>
  </si>
  <si>
    <t>Groups</t>
  </si>
  <si>
    <t>Count</t>
  </si>
  <si>
    <t>Sum</t>
  </si>
  <si>
    <t>Variance</t>
  </si>
  <si>
    <t>Row 1</t>
  </si>
  <si>
    <t>Row 2</t>
  </si>
  <si>
    <t>Row 3</t>
  </si>
  <si>
    <t>Row 4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</si>
  <si>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</si>
  <si>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</si>
  <si>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</si>
  <si>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</si>
  <si>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</si>
  <si>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</si>
  <si>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</si>
  <si>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</si>
  <si>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</si>
  <si>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</si>
  <si>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</si>
  <si>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Log spores</t>
  </si>
  <si>
    <t>1% GJV1</t>
  </si>
  <si>
    <t>1% YTY2</t>
  </si>
  <si>
    <t>1% YTY25</t>
  </si>
  <si>
    <t>1% YTY26</t>
  </si>
  <si>
    <t>1% GJV1 vs 1% YTY2</t>
  </si>
  <si>
    <t>1% GJV1 vs 1% YTY25</t>
  </si>
  <si>
    <t>1% GJV1 vs 1% YTY26</t>
  </si>
  <si>
    <t>FDR</t>
  </si>
  <si>
    <t>k</t>
  </si>
  <si>
    <t>p-value</t>
  </si>
  <si>
    <t>rank</t>
  </si>
  <si>
    <t>adj alpha</t>
  </si>
  <si>
    <t>BH sig</t>
  </si>
  <si>
    <t>=FDR*rank/k</t>
  </si>
  <si>
    <t>yes</t>
  </si>
  <si>
    <t>no</t>
  </si>
  <si>
    <t>GJV32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</si>
</sst>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quotePrefix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'Panel A + B'!$B$15</c:f>
              <c:strCache>
                <c:ptCount val="1"/>
                <c:pt idx="0">
                  <c:v>No Kanamycin</c:v>
                </c:pt>
              </c:strCache>
            </c:strRef>
          </c:tx>
          <c:spPr>
            <a:pattFill prst="wdUpDiag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'Panel A + B'!$F$16:$F$24</c:f>
                <c:numCache>
                  <c:formatCode>General</c:formatCode>
                  <c:ptCount val="9"/>
                  <c:pt idx="0">
                    <c:v>5.6348840809836015E-2</c:v>
                  </c:pt>
                  <c:pt idx="1">
                    <c:v>8.206719245501784E-2</c:v>
                  </c:pt>
                  <c:pt idx="2">
                    <c:v>0.12488405116038083</c:v>
                  </c:pt>
                  <c:pt idx="3">
                    <c:v>0.12519101585540873</c:v>
                  </c:pt>
                  <c:pt idx="4">
                    <c:v>0.37277370469954968</c:v>
                  </c:pt>
                  <c:pt idx="5">
                    <c:v>9.7234490273657923E-2</c:v>
                  </c:pt>
                  <c:pt idx="6">
                    <c:v>8.5252859384218102E-2</c:v>
                  </c:pt>
                  <c:pt idx="7">
                    <c:v>9.7311917444440607E-2</c:v>
                  </c:pt>
                  <c:pt idx="8">
                    <c:v>4.825119103371716E-2</c:v>
                  </c:pt>
                </c:numCache>
              </c:numRef>
            </c:plus>
            <c:minus>
              <c:numRef>
                <c:f>'Panel A + B'!$F$16:$F$24</c:f>
                <c:numCache>
                  <c:formatCode>General</c:formatCode>
                  <c:ptCount val="9"/>
                  <c:pt idx="0">
                    <c:v>5.6348840809836015E-2</c:v>
                  </c:pt>
                  <c:pt idx="1">
                    <c:v>8.206719245501784E-2</c:v>
                  </c:pt>
                  <c:pt idx="2">
                    <c:v>0.12488405116038083</c:v>
                  </c:pt>
                  <c:pt idx="3">
                    <c:v>0.12519101585540873</c:v>
                  </c:pt>
                  <c:pt idx="4">
                    <c:v>0.37277370469954968</c:v>
                  </c:pt>
                  <c:pt idx="5">
                    <c:v>9.7234490273657923E-2</c:v>
                  </c:pt>
                  <c:pt idx="6">
                    <c:v>8.5252859384218102E-2</c:v>
                  </c:pt>
                  <c:pt idx="7">
                    <c:v>9.7311917444440607E-2</c:v>
                  </c:pt>
                  <c:pt idx="8">
                    <c:v>4.825119103371716E-2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'Panel A + B'!$A$16:$A$24</c:f>
              <c:strCache>
                <c:ptCount val="9"/>
                <c:pt idx="0">
                  <c:v>GJV1</c:v>
                </c:pt>
                <c:pt idx="1">
                  <c:v>YTY2</c:v>
                </c:pt>
                <c:pt idx="2">
                  <c:v>YTY25</c:v>
                </c:pt>
                <c:pt idx="3">
                  <c:v>YTY26</c:v>
                </c:pt>
                <c:pt idx="4">
                  <c:v>GJV32</c:v>
                </c:pt>
                <c:pt idx="5">
                  <c:v>1% GJV1</c:v>
                </c:pt>
                <c:pt idx="6">
                  <c:v>1% YTY2</c:v>
                </c:pt>
                <c:pt idx="7">
                  <c:v>1% YTY25</c:v>
                </c:pt>
                <c:pt idx="8">
                  <c:v>1% YTY26</c:v>
                </c:pt>
              </c:strCache>
            </c:strRef>
          </c:cat>
          <c:val>
            <c:numRef>
              <c:f>'Panel A + B'!$B$16:$B$24</c:f>
              <c:numCache>
                <c:formatCode>General</c:formatCode>
                <c:ptCount val="9"/>
                <c:pt idx="0">
                  <c:v>6.6670656672221869</c:v>
                </c:pt>
                <c:pt idx="1">
                  <c:v>7.2019557391392652</c:v>
                </c:pt>
                <c:pt idx="2">
                  <c:v>7.1953573446251218</c:v>
                </c:pt>
                <c:pt idx="3">
                  <c:v>7.2132201902009534</c:v>
                </c:pt>
                <c:pt idx="4">
                  <c:v>2.2893521206076808</c:v>
                </c:pt>
                <c:pt idx="5">
                  <c:v>6.7553729186766516</c:v>
                </c:pt>
                <c:pt idx="6">
                  <c:v>7.1878066571173163</c:v>
                </c:pt>
                <c:pt idx="7">
                  <c:v>7.1863251012597429</c:v>
                </c:pt>
                <c:pt idx="8">
                  <c:v>7.2449223987637543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88D-BE65-A49DBAAA38C2}"/>
            </c:ext>
          </c:extLst>
        </c:ser>
        <c:ser>
          <c:idx val="1"/>
          <c:order val="1"/>
          <c:tx>
            <c:strRef>
              <c:f>'Panel A + B'!$C$15</c:f>
              <c:strCache>
                <c:ptCount val="1"/>
                <c:pt idx="0">
                  <c:v>Kanamycin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'Panel A + B'!$H$16:$H$24</c:f>
                <c:numCache>
                  <c:formatCode>General</c:formatCode>
                  <c:ptCount val="9"/>
                  <c:pt idx="5">
                    <c:v>9.8826398557723336E-2</c:v>
                  </c:pt>
                  <c:pt idx="6">
                    <c:v>0.31311831527270645</c:v>
                  </c:pt>
                  <c:pt idx="7">
                    <c:v>0.21752668018407589</c:v>
                  </c:pt>
                  <c:pt idx="8">
                    <c:v>0.1752241059714349</c:v>
                  </c:pt>
                </c:numCache>
              </c:numRef>
            </c:plus>
            <c:minus>
              <c:numRef>
                <c:f>'Panel A + B'!$H$16:$H$24</c:f>
                <c:numCache>
                  <c:formatCode>General</c:formatCode>
                  <c:ptCount val="9"/>
                  <c:pt idx="5">
                    <c:v>9.8826398557723336E-2</c:v>
                  </c:pt>
                  <c:pt idx="6">
                    <c:v>0.31311831527270645</c:v>
                  </c:pt>
                  <c:pt idx="7">
                    <c:v>0.21752668018407589</c:v>
                  </c:pt>
                  <c:pt idx="8">
                    <c:v>0.1752241059714349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'Panel A + B'!$A$16:$A$24</c:f>
              <c:strCache>
                <c:ptCount val="9"/>
                <c:pt idx="0">
                  <c:v>GJV1</c:v>
                </c:pt>
                <c:pt idx="1">
                  <c:v>YTY2</c:v>
                </c:pt>
                <c:pt idx="2">
                  <c:v>YTY25</c:v>
                </c:pt>
                <c:pt idx="3">
                  <c:v>YTY26</c:v>
                </c:pt>
                <c:pt idx="4">
                  <c:v>GJV32</c:v>
                </c:pt>
                <c:pt idx="5">
                  <c:v>1% GJV1</c:v>
                </c:pt>
                <c:pt idx="6">
                  <c:v>1% YTY2</c:v>
                </c:pt>
                <c:pt idx="7">
                  <c:v>1% YTY25</c:v>
                </c:pt>
                <c:pt idx="8">
                  <c:v>1% YTY26</c:v>
                </c:pt>
              </c:strCache>
            </c:strRef>
          </c:cat>
          <c:val>
            <c:numRef>
              <c:f>'Panel A + B'!$C$16:$C$24</c:f>
              <c:numCache>
                <c:formatCode>General</c:formatCode>
                <c:ptCount val="9"/>
                <c:pt idx="5">
                  <c:v>6.1296038044911754</c:v>
                </c:pt>
                <c:pt idx="6">
                  <c:v>5.2576447095954819</c:v>
                </c:pt>
                <c:pt idx="7">
                  <c:v>5.33843324045547</c:v>
                </c:pt>
                <c:pt idx="8">
                  <c:v>5.3327574731285958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5-488D-BE65-A49DBAAA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533448"/>
        <c:axId val="659539680"/>
      </c:barChart>
      <c:catAx>
        <c:axId val="65953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59539680"/>
        <c:crosses val="autoZero"/>
        <c:auto val="1"/>
        <c:lblAlgn val="ctr"/>
        <c:lblOffset val="100"/>
        <c:noMultiLvlLbl val="0"/>
      </c:catAx>
      <c:valAx>
        <c:axId val="6595396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Log10(spore count)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65953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'Panel A + B'!$J$21:$J$24</c:f>
                <c:numCache>
                  <c:formatCode>General</c:formatCode>
                  <c:ptCount val="4"/>
                  <c:pt idx="0">
                    <c:v>6.5878146087037592</c:v>
                  </c:pt>
                  <c:pt idx="1">
                    <c:v>0.90575798722107892</c:v>
                  </c:pt>
                  <c:pt idx="2">
                    <c:v>1.0514973683607425</c:v>
                  </c:pt>
                  <c:pt idx="3">
                    <c:v>0.58088600169403359</c:v>
                  </c:pt>
                </c:numCache>
              </c:numRef>
            </c:plus>
            <c:minus>
              <c:numRef>
                <c:f>'Panel A + B'!$J$21:$J$24</c:f>
                <c:numCache>
                  <c:formatCode>General</c:formatCode>
                  <c:ptCount val="4"/>
                  <c:pt idx="0">
                    <c:v>6.5878146087037592</c:v>
                  </c:pt>
                  <c:pt idx="1">
                    <c:v>0.90575798722107892</c:v>
                  </c:pt>
                  <c:pt idx="2">
                    <c:v>1.0514973683607425</c:v>
                  </c:pt>
                  <c:pt idx="3">
                    <c:v>0.58088600169403359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'Panel A + B'!$A$21:$A$24</c:f>
              <c:strCache>
                <c:ptCount val="4"/>
                <c:pt idx="0">
                  <c:v>1% GJV1</c:v>
                </c:pt>
                <c:pt idx="1">
                  <c:v>1% YTY2</c:v>
                </c:pt>
                <c:pt idx="2">
                  <c:v>1% YTY25</c:v>
                </c:pt>
                <c:pt idx="3">
                  <c:v>1% YTY26</c:v>
                </c:pt>
              </c:strCache>
            </c:strRef>
          </c:cat>
          <c:val>
            <c:numRef>
              <c:f>'Panel A + B'!$D$21:$D$24</c:f>
              <c:numCache>
                <c:formatCode>General</c:formatCode>
                <c:ptCount val="4"/>
                <c:pt idx="0">
                  <c:v>24.182524889100815</c:v>
                </c:pt>
                <c:pt idx="1">
                  <c:v>1.3941899839276111</c:v>
                </c:pt>
                <c:pt idx="2">
                  <c:v>1.5865291599856886</c:v>
                </c:pt>
                <c:pt idx="3">
                  <c:v>1.2980953264996706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6C-4F4D-9FE6-BB52B724E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454792"/>
        <c:axId val="558446920"/>
      </c:barChart>
      <c:catAx>
        <c:axId val="55845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8446920"/>
        <c:crosses val="autoZero"/>
        <c:auto val="1"/>
        <c:lblAlgn val="ctr"/>
        <c:lblOffset val="100"/>
        <c:noMultiLvlLbl val="0"/>
      </c:catAx>
      <c:valAx>
        <c:axId val="558446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 sz="11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% cheater GJV32 among spores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84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629328</xdr:colOff>
      <xdr:row>25</xdr:row>
      <xdr:rowOff>12924</xdr:rowOff>
    </xdr:from>
    <xdr:to>
      <xdr:col>12</xdr:col>
      <xdr:colOff>299358</xdr:colOff>
      <xdr:row>54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9A8AD-0CAC-438A-BDAC-565064BD1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30615</xdr:colOff>
      <xdr:row>25</xdr:row>
      <xdr:rowOff>46942</xdr:rowOff>
    </xdr:from>
    <xdr:to>
      <xdr:col>22</xdr:col>
      <xdr:colOff>476250</xdr:colOff>
      <xdr:row>54</xdr:row>
      <xdr:rowOff>68035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9C9A6A-3998-4BC8-9B6F-2644AF225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DCAE-A715-4880-AAF4-D347EDBA19D7}">
  <dimension ref="A1:AG62"/>
  <sheetViews>
    <sheetView tabSelected="1" zoomScale="70" zoomScaleNormal="70" workbookViewId="0">
      <selection activeCell="T20" sqref="T20"/>
    </sheetView>
  </sheetViews>
  <sheetFormatPr defaultColWidth="8.796875" defaultRowHeight="14.25" x14ac:dyDescent="0.45"/>
  <cols>
    <col min="1" max="1" width="12.796875" customWidth="1"/>
    <col min="12" max="12" width="11" customWidth="1"/>
    <col min="21" max="21" width="11.33203125" customWidth="1"/>
    <col min="23" max="23" width="11.33203125" customWidth="1"/>
    <col min="24" max="24" width="16.06640625" customWidth="1"/>
    <col min="25" max="25" width="19.33203125" customWidth="1"/>
    <col min="26" max="26" width="23.796875" customWidth="1"/>
    <col min="27" max="27" width="16.33203125" customWidth="1"/>
    <col min="28" max="28" width="21.1328125" customWidth="1"/>
    <col min="29" max="29" width="19.1328125" customWidth="1"/>
    <col min="30" max="30" width="24.33203125" customWidth="1"/>
  </cols>
  <sheetData>
    <row r="1" spans="1:30" x14ac:dyDescent="0.45">
      <c r="B1" t="s">
        <v>0</v>
      </c>
      <c r="E1" t="s">
        <v>1</v>
      </c>
      <c r="H1" t="s">
        <v>2</v>
      </c>
      <c r="L1" t="s">
        <v>10</v>
      </c>
      <c r="M1" t="s">
        <v>0</v>
      </c>
      <c r="O1" t="s">
        <v>1</v>
      </c>
      <c r="Q1" t="s">
        <v>2</v>
      </c>
      <c r="V1" t="s">
        <v>11</v>
      </c>
    </row>
    <row r="2" spans="1:30" x14ac:dyDescent="0.45">
      <c r="B2" s="1" t="s">
        <v>12</v>
      </c>
      <c r="C2" s="1" t="s">
        <v>3</v>
      </c>
      <c r="D2" s="1" t="s">
        <v>4</v>
      </c>
      <c r="E2" s="1" t="s">
        <v>12</v>
      </c>
      <c r="F2" s="1" t="s">
        <v>3</v>
      </c>
      <c r="G2" s="1" t="s">
        <v>4</v>
      </c>
      <c r="H2" s="1" t="s">
        <v>12</v>
      </c>
      <c r="I2" s="1" t="s">
        <v>3</v>
      </c>
      <c r="J2" s="1" t="s">
        <v>4</v>
      </c>
      <c r="L2" s="1"/>
      <c r="M2" s="1" t="s">
        <v>12</v>
      </c>
      <c r="N2" s="1" t="s">
        <v>3</v>
      </c>
      <c r="O2" s="1" t="s">
        <v>12</v>
      </c>
      <c r="P2" s="1" t="s">
        <v>3</v>
      </c>
      <c r="Q2" s="1" t="s">
        <v>12</v>
      </c>
      <c r="R2" s="1" t="s">
        <v>3</v>
      </c>
      <c r="V2" s="1" t="s">
        <v>12</v>
      </c>
      <c r="W2" s="1" t="s">
        <v>13</v>
      </c>
      <c r="X2" s="1" t="s">
        <v>4</v>
      </c>
      <c r="Y2" s="1" t="s">
        <v>14</v>
      </c>
      <c r="Z2" s="1" t="s">
        <v>15</v>
      </c>
      <c r="AA2" s="1" t="s">
        <v>16</v>
      </c>
      <c r="AB2" s="1" t="s">
        <v>17</v>
      </c>
      <c r="AC2" s="1" t="s">
        <v>18</v>
      </c>
      <c r="AD2" s="1" t="s">
        <v>19</v>
      </c>
    </row>
    <row r="3" spans="1:30" x14ac:dyDescent="0.45">
      <c r="A3" t="s">
        <v>5</v>
      </c>
      <c r="B3">
        <f>43*10^5</f>
        <v>4300000</v>
      </c>
      <c r="E3">
        <f>53*10^5</f>
        <v>5300000</v>
      </c>
      <c r="H3">
        <f>44*10^5</f>
        <v>4400000</v>
      </c>
      <c r="L3" t="s">
        <v>6</v>
      </c>
      <c r="M3">
        <f t="shared" ref="M3:N11" si="0">LOG(B3)</f>
        <v>6.6334684555795862</v>
      </c>
      <c r="O3">
        <f t="shared" ref="O3:P11" si="1">LOG(E3)</f>
        <v>6.7242758696007892</v>
      </c>
      <c r="Q3">
        <f t="shared" ref="Q3:R11" si="2">LOG(H3)</f>
        <v>6.6434526764861879</v>
      </c>
      <c r="U3" t="s">
        <v>6</v>
      </c>
      <c r="V3">
        <f t="shared" ref="V3:W11" si="3">AVERAGE(M3,O3,Q3)</f>
        <v>6.6670656672221869</v>
      </c>
      <c r="Y3">
        <f t="shared" ref="Y3:Y11" si="4">STDEV(M3,O3,Q3)</f>
        <v>4.9796351361604339E-2</v>
      </c>
      <c r="Z3">
        <f t="shared" ref="Z3:Z11" si="5">CONFIDENCE(0.05,Y3,3)</f>
        <v>5.6348840809836015E-2</v>
      </c>
    </row>
    <row r="4" spans="1:30" x14ac:dyDescent="0.45">
      <c r="A4" t="s">
        <v>7</v>
      </c>
      <c r="B4">
        <f>133*10^5</f>
        <v>13300000</v>
      </c>
      <c r="E4">
        <f>185*10^5</f>
        <v>18500000</v>
      </c>
      <c r="H4">
        <f>164*10^5</f>
        <v>16400000</v>
      </c>
      <c r="L4" t="s">
        <v>7</v>
      </c>
      <c r="M4">
        <f t="shared" si="0"/>
        <v>7.1238516409670858</v>
      </c>
      <c r="O4">
        <f t="shared" si="1"/>
        <v>7.2671717284030137</v>
      </c>
      <c r="Q4">
        <f t="shared" si="2"/>
        <v>7.214843848047698</v>
      </c>
      <c r="U4" t="s">
        <v>7</v>
      </c>
      <c r="V4">
        <f t="shared" si="3"/>
        <v>7.2019557391392652</v>
      </c>
      <c r="Y4">
        <f t="shared" si="4"/>
        <v>7.2524060690830144E-2</v>
      </c>
      <c r="Z4">
        <f t="shared" si="5"/>
        <v>8.206719245501784E-2</v>
      </c>
    </row>
    <row r="5" spans="1:30" x14ac:dyDescent="0.45">
      <c r="A5" t="s">
        <v>20</v>
      </c>
      <c r="B5">
        <f>158*10^5</f>
        <v>15800000</v>
      </c>
      <c r="E5">
        <f>214*10^5</f>
        <v>21400000</v>
      </c>
      <c r="H5">
        <f>129*10^5</f>
        <v>12900000</v>
      </c>
      <c r="L5" t="s">
        <v>20</v>
      </c>
      <c r="M5">
        <f t="shared" si="0"/>
        <v>7.1986570869544222</v>
      </c>
      <c r="O5">
        <f t="shared" si="1"/>
        <v>7.330413773349191</v>
      </c>
      <c r="Q5">
        <f t="shared" si="2"/>
        <v>7.1105897102992488</v>
      </c>
      <c r="U5" t="s">
        <v>20</v>
      </c>
      <c r="V5">
        <f t="shared" si="3"/>
        <v>7.2132201902009534</v>
      </c>
      <c r="Y5">
        <f t="shared" si="4"/>
        <v>0.11063325745937835</v>
      </c>
      <c r="Z5">
        <f t="shared" si="5"/>
        <v>0.12519101585540873</v>
      </c>
    </row>
    <row r="6" spans="1:30" x14ac:dyDescent="0.45">
      <c r="A6" t="s">
        <v>21</v>
      </c>
      <c r="B6">
        <f>143*10^5</f>
        <v>14300000</v>
      </c>
      <c r="E6">
        <f>209*10^5</f>
        <v>20900000</v>
      </c>
      <c r="H6">
        <f>129*10^5</f>
        <v>12900000</v>
      </c>
      <c r="L6" t="s">
        <v>21</v>
      </c>
      <c r="M6">
        <f t="shared" si="0"/>
        <v>7.1553360374650614</v>
      </c>
      <c r="O6">
        <f t="shared" si="1"/>
        <v>7.3201462861110542</v>
      </c>
      <c r="Q6">
        <f t="shared" si="2"/>
        <v>7.1105897102992488</v>
      </c>
      <c r="U6" t="s">
        <v>21</v>
      </c>
      <c r="V6">
        <f t="shared" si="3"/>
        <v>7.1953573446251218</v>
      </c>
      <c r="Y6">
        <f t="shared" si="4"/>
        <v>0.11036198796049365</v>
      </c>
      <c r="Z6">
        <f t="shared" si="5"/>
        <v>0.12488405116038083</v>
      </c>
    </row>
    <row r="7" spans="1:30" x14ac:dyDescent="0.45">
      <c r="A7" t="s">
        <v>65</v>
      </c>
      <c r="B7">
        <f>20*10</f>
        <v>200</v>
      </c>
      <c r="E7">
        <f>90</f>
        <v>90</v>
      </c>
      <c r="H7">
        <v>410</v>
      </c>
      <c r="L7" t="s">
        <v>65</v>
      </c>
      <c r="M7">
        <f t="shared" si="0"/>
        <v>2.3010299956639813</v>
      </c>
      <c r="O7">
        <f t="shared" si="1"/>
        <v>1.954242509439325</v>
      </c>
      <c r="Q7">
        <f t="shared" si="2"/>
        <v>2.6127838567197355</v>
      </c>
      <c r="U7" t="s">
        <v>65</v>
      </c>
      <c r="V7">
        <f t="shared" si="3"/>
        <v>2.2893521206076808</v>
      </c>
      <c r="Y7">
        <f t="shared" si="4"/>
        <v>0.3294259493328473</v>
      </c>
      <c r="Z7">
        <f t="shared" si="5"/>
        <v>0.37277370469954968</v>
      </c>
    </row>
    <row r="8" spans="1:30" x14ac:dyDescent="0.45">
      <c r="A8" t="s">
        <v>8</v>
      </c>
      <c r="B8">
        <f>59*10^5</f>
        <v>5900000</v>
      </c>
      <c r="C8">
        <f>17*10^5</f>
        <v>1700000</v>
      </c>
      <c r="D8">
        <f t="shared" ref="D8:D11" si="6">(C8/B8)*100</f>
        <v>28.8135593220339</v>
      </c>
      <c r="E8">
        <f>68*10^5</f>
        <v>6800000</v>
      </c>
      <c r="F8">
        <f>12*10^5</f>
        <v>1200000</v>
      </c>
      <c r="G8">
        <f t="shared" ref="G8:G11" si="7">(F8/E8)*100</f>
        <v>17.647058823529413</v>
      </c>
      <c r="H8">
        <f>46*10^5</f>
        <v>4600000</v>
      </c>
      <c r="I8">
        <f>12*10^5</f>
        <v>1200000</v>
      </c>
      <c r="J8">
        <f t="shared" ref="J8:J11" si="8">(I8/H8)*100</f>
        <v>26.086956521739129</v>
      </c>
      <c r="L8" t="s">
        <v>8</v>
      </c>
      <c r="M8">
        <f>LOG(B8)</f>
        <v>6.7708520116421438</v>
      </c>
      <c r="N8">
        <f t="shared" si="0"/>
        <v>6.2304489213782741</v>
      </c>
      <c r="O8">
        <f t="shared" si="1"/>
        <v>6.8325089127062366</v>
      </c>
      <c r="P8">
        <f t="shared" si="1"/>
        <v>6.0791812460476251</v>
      </c>
      <c r="Q8">
        <f t="shared" si="2"/>
        <v>6.6627578316815743</v>
      </c>
      <c r="R8">
        <f t="shared" si="2"/>
        <v>6.0791812460476251</v>
      </c>
      <c r="U8" t="s">
        <v>8</v>
      </c>
      <c r="V8">
        <f>AVERAGE(M8,O8,Q8)</f>
        <v>6.7553729186766516</v>
      </c>
      <c r="W8">
        <f t="shared" si="3"/>
        <v>6.1296038044911754</v>
      </c>
      <c r="X8">
        <f t="shared" ref="X8:X11" si="9">AVERAGE(D8,G8,J8)</f>
        <v>24.182524889100815</v>
      </c>
      <c r="Y8">
        <f t="shared" si="4"/>
        <v>8.5927638839526657E-2</v>
      </c>
      <c r="Z8">
        <f t="shared" si="5"/>
        <v>9.7234490273657923E-2</v>
      </c>
      <c r="AA8">
        <f t="shared" ref="AA8:AA11" si="10">STDEV(N8,P8,R8)</f>
        <v>8.7334433071839107E-2</v>
      </c>
      <c r="AB8">
        <f t="shared" ref="AB8:AB11" si="11">CONFIDENCE(0.05,AA8,3)</f>
        <v>9.8826398557723336E-2</v>
      </c>
      <c r="AC8">
        <f t="shared" ref="AC8:AC11" si="12">STDEV(D8,G8,J8)</f>
        <v>5.8217547379050893</v>
      </c>
      <c r="AD8">
        <f t="shared" ref="AD8:AD11" si="13">CONFIDENCE(0.05,AC8,3)</f>
        <v>6.5878146087037592</v>
      </c>
    </row>
    <row r="9" spans="1:30" x14ac:dyDescent="0.45">
      <c r="A9" t="s">
        <v>9</v>
      </c>
      <c r="B9">
        <f>151*10^5</f>
        <v>15100000</v>
      </c>
      <c r="C9">
        <f>277*10^3</f>
        <v>277000</v>
      </c>
      <c r="D9">
        <f t="shared" si="6"/>
        <v>1.8344370860927151</v>
      </c>
      <c r="E9">
        <f>131*10^5</f>
        <v>13100000</v>
      </c>
      <c r="F9">
        <f>246*10^3</f>
        <v>246000</v>
      </c>
      <c r="G9">
        <f t="shared" si="7"/>
        <v>1.8778625954198473</v>
      </c>
      <c r="H9">
        <f>185*10^5</f>
        <v>18500000</v>
      </c>
      <c r="I9">
        <f>87*10^3</f>
        <v>87000</v>
      </c>
      <c r="J9">
        <f t="shared" si="8"/>
        <v>0.4702702702702703</v>
      </c>
      <c r="L9" t="s">
        <v>9</v>
      </c>
      <c r="M9">
        <f t="shared" si="0"/>
        <v>7.1789769472931697</v>
      </c>
      <c r="N9">
        <f t="shared" si="0"/>
        <v>5.4424797690644482</v>
      </c>
      <c r="O9">
        <f t="shared" si="1"/>
        <v>7.1172712956557644</v>
      </c>
      <c r="P9">
        <f t="shared" si="1"/>
        <v>5.3909351071033793</v>
      </c>
      <c r="Q9">
        <f t="shared" si="2"/>
        <v>7.2671717284030137</v>
      </c>
      <c r="R9">
        <f t="shared" si="2"/>
        <v>4.9395192526186182</v>
      </c>
      <c r="U9" t="s">
        <v>9</v>
      </c>
      <c r="V9">
        <f t="shared" si="3"/>
        <v>7.1878066571173163</v>
      </c>
      <c r="W9">
        <f t="shared" si="3"/>
        <v>5.2576447095954819</v>
      </c>
      <c r="X9">
        <f t="shared" si="9"/>
        <v>1.3941899839276111</v>
      </c>
      <c r="Y9">
        <f t="shared" si="4"/>
        <v>7.5339284348453439E-2</v>
      </c>
      <c r="Z9">
        <f t="shared" si="5"/>
        <v>8.5252859384218102E-2</v>
      </c>
      <c r="AA9">
        <f t="shared" si="10"/>
        <v>0.27670754927671193</v>
      </c>
      <c r="AB9">
        <f t="shared" si="11"/>
        <v>0.31311831527270645</v>
      </c>
      <c r="AC9">
        <f t="shared" si="12"/>
        <v>0.80043249039414699</v>
      </c>
      <c r="AD9">
        <f t="shared" si="13"/>
        <v>0.90575798722107892</v>
      </c>
    </row>
    <row r="10" spans="1:30" x14ac:dyDescent="0.45">
      <c r="A10" t="s">
        <v>23</v>
      </c>
      <c r="B10">
        <f>171*10^5</f>
        <v>17100000</v>
      </c>
      <c r="C10">
        <f>306*10^3</f>
        <v>306000</v>
      </c>
      <c r="D10">
        <f t="shared" si="6"/>
        <v>1.7894736842105261</v>
      </c>
      <c r="E10">
        <f>196*10^5</f>
        <v>19600000</v>
      </c>
      <c r="F10">
        <f>150*10^3</f>
        <v>150000</v>
      </c>
      <c r="G10">
        <f t="shared" si="7"/>
        <v>0.76530612244897955</v>
      </c>
      <c r="H10">
        <f>162*10^5</f>
        <v>16200000</v>
      </c>
      <c r="I10">
        <f>217*10^3</f>
        <v>217000</v>
      </c>
      <c r="J10">
        <f t="shared" si="8"/>
        <v>1.3395061728395061</v>
      </c>
      <c r="L10" t="s">
        <v>23</v>
      </c>
      <c r="M10">
        <f t="shared" si="0"/>
        <v>7.2329961103921541</v>
      </c>
      <c r="N10">
        <f t="shared" si="0"/>
        <v>5.4857214264815797</v>
      </c>
      <c r="O10">
        <f t="shared" si="1"/>
        <v>7.2922560713564764</v>
      </c>
      <c r="P10">
        <f t="shared" si="1"/>
        <v>5.1760912590556813</v>
      </c>
      <c r="Q10">
        <f t="shared" si="2"/>
        <v>7.2095150145426308</v>
      </c>
      <c r="R10">
        <f t="shared" si="2"/>
        <v>5.3364597338485291</v>
      </c>
      <c r="U10" t="s">
        <v>23</v>
      </c>
      <c r="V10">
        <f t="shared" si="3"/>
        <v>7.2449223987637543</v>
      </c>
      <c r="W10">
        <f t="shared" si="3"/>
        <v>5.3327574731285958</v>
      </c>
      <c r="X10">
        <f t="shared" si="9"/>
        <v>1.2980953264996706</v>
      </c>
      <c r="Y10">
        <f t="shared" si="4"/>
        <v>4.2640331687381614E-2</v>
      </c>
      <c r="Z10">
        <f t="shared" si="5"/>
        <v>4.825119103371716E-2</v>
      </c>
      <c r="AA10">
        <f t="shared" si="10"/>
        <v>0.15484828121705524</v>
      </c>
      <c r="AB10">
        <f t="shared" si="11"/>
        <v>0.1752241059714349</v>
      </c>
      <c r="AC10">
        <f t="shared" si="12"/>
        <v>0.51333803900264774</v>
      </c>
      <c r="AD10">
        <f t="shared" si="13"/>
        <v>0.58088600169403359</v>
      </c>
    </row>
    <row r="11" spans="1:30" x14ac:dyDescent="0.45">
      <c r="A11" t="s">
        <v>22</v>
      </c>
      <c r="B11">
        <f>136*10^5</f>
        <v>13600000</v>
      </c>
      <c r="C11">
        <f>174*10^3</f>
        <v>174000</v>
      </c>
      <c r="D11">
        <f t="shared" si="6"/>
        <v>1.2794117647058825</v>
      </c>
      <c r="E11">
        <f>193*10^5</f>
        <v>19300000</v>
      </c>
      <c r="F11">
        <f>164*10^3</f>
        <v>164000</v>
      </c>
      <c r="G11">
        <f t="shared" si="7"/>
        <v>0.84974093264248707</v>
      </c>
      <c r="H11">
        <f>138*10^5</f>
        <v>13800000</v>
      </c>
      <c r="I11">
        <f>363*10^3</f>
        <v>363000</v>
      </c>
      <c r="J11">
        <f t="shared" si="8"/>
        <v>2.6304347826086958</v>
      </c>
      <c r="L11" t="s">
        <v>22</v>
      </c>
      <c r="M11">
        <f t="shared" si="0"/>
        <v>7.1335389083702179</v>
      </c>
      <c r="N11">
        <f t="shared" si="0"/>
        <v>5.2405492482825995</v>
      </c>
      <c r="O11">
        <f t="shared" si="1"/>
        <v>7.2855573090077739</v>
      </c>
      <c r="P11">
        <f t="shared" si="1"/>
        <v>5.214843848047698</v>
      </c>
      <c r="Q11">
        <f t="shared" si="2"/>
        <v>7.1398790864012369</v>
      </c>
      <c r="R11">
        <f t="shared" si="2"/>
        <v>5.5599066250361124</v>
      </c>
      <c r="U11" t="s">
        <v>22</v>
      </c>
      <c r="V11">
        <f t="shared" si="3"/>
        <v>7.1863251012597429</v>
      </c>
      <c r="W11">
        <f t="shared" si="3"/>
        <v>5.33843324045547</v>
      </c>
      <c r="X11">
        <f t="shared" si="9"/>
        <v>1.5865291599856886</v>
      </c>
      <c r="Y11">
        <f t="shared" si="4"/>
        <v>8.5996062440541657E-2</v>
      </c>
      <c r="Z11">
        <f t="shared" si="5"/>
        <v>9.7311917444440607E-2</v>
      </c>
      <c r="AA11">
        <f t="shared" si="10"/>
        <v>0.19223172724218288</v>
      </c>
      <c r="AB11">
        <f t="shared" si="11"/>
        <v>0.21752668018407589</v>
      </c>
      <c r="AC11">
        <f t="shared" si="12"/>
        <v>0.92922465942820198</v>
      </c>
      <c r="AD11">
        <f t="shared" si="13"/>
        <v>1.0514973683607425</v>
      </c>
    </row>
    <row r="14" spans="1:30" x14ac:dyDescent="0.45">
      <c r="O14" t="s">
        <v>24</v>
      </c>
      <c r="X14" t="s">
        <v>8</v>
      </c>
      <c r="Y14">
        <v>6.2304489213782741</v>
      </c>
      <c r="Z14">
        <v>6.0791812460476251</v>
      </c>
      <c r="AA14">
        <v>6.0791812460476251</v>
      </c>
      <c r="AC14" t="s">
        <v>56</v>
      </c>
      <c r="AD14" s="9">
        <v>0.05</v>
      </c>
    </row>
    <row r="15" spans="1:30" x14ac:dyDescent="0.45">
      <c r="B15" t="s">
        <v>12</v>
      </c>
      <c r="C15" t="s">
        <v>13</v>
      </c>
      <c r="D15" t="s">
        <v>4</v>
      </c>
      <c r="E15" t="s">
        <v>14</v>
      </c>
      <c r="F15" t="s">
        <v>15</v>
      </c>
      <c r="G15" t="s">
        <v>16</v>
      </c>
      <c r="H15" t="s">
        <v>17</v>
      </c>
      <c r="I15" t="s">
        <v>18</v>
      </c>
      <c r="J15" t="s">
        <v>19</v>
      </c>
      <c r="O15" t="s">
        <v>25</v>
      </c>
      <c r="X15" t="s">
        <v>9</v>
      </c>
      <c r="Y15">
        <v>5.4424797690644482</v>
      </c>
      <c r="Z15">
        <v>5.3909351071033793</v>
      </c>
      <c r="AA15">
        <v>4.9395192526186182</v>
      </c>
      <c r="AC15" t="s">
        <v>57</v>
      </c>
      <c r="AD15" s="10">
        <v>3</v>
      </c>
    </row>
    <row r="16" spans="1:30" x14ac:dyDescent="0.45">
      <c r="A16" t="s">
        <v>5</v>
      </c>
      <c r="B16">
        <v>6.6670656672221869</v>
      </c>
      <c r="F16">
        <v>5.6348840809836015E-2</v>
      </c>
      <c r="X16" t="s">
        <v>23</v>
      </c>
      <c r="Y16">
        <v>5.4857214264815797</v>
      </c>
      <c r="Z16">
        <v>5.1760912590556813</v>
      </c>
      <c r="AA16">
        <v>5.3364597338485291</v>
      </c>
    </row>
    <row r="17" spans="1:33" x14ac:dyDescent="0.45">
      <c r="A17" t="s">
        <v>7</v>
      </c>
      <c r="B17">
        <v>7.2019557391392652</v>
      </c>
      <c r="F17">
        <v>8.206719245501784E-2</v>
      </c>
      <c r="O17" t="s">
        <v>53</v>
      </c>
      <c r="R17">
        <f>TTEST(Y14:AA14,Y15:AA15,2,1)</f>
        <v>2.3778412509469597E-2</v>
      </c>
      <c r="X17" t="s">
        <v>22</v>
      </c>
      <c r="Y17">
        <v>5.2405492482825995</v>
      </c>
      <c r="Z17">
        <v>5.214843848047698</v>
      </c>
      <c r="AA17">
        <v>5.5599066250361124</v>
      </c>
      <c r="AF17" s="5" t="s">
        <v>62</v>
      </c>
    </row>
    <row r="18" spans="1:33" x14ac:dyDescent="0.45">
      <c r="A18" t="s">
        <v>21</v>
      </c>
      <c r="B18">
        <v>7.1953573446251218</v>
      </c>
      <c r="F18">
        <v>0.12488405116038083</v>
      </c>
      <c r="O18" t="s">
        <v>54</v>
      </c>
      <c r="R18">
        <f>TTEST(Y14:AA14,Y17:AA17,2,1)</f>
        <v>3.0199690902140794E-2</v>
      </c>
      <c r="AC18" t="s">
        <v>25</v>
      </c>
    </row>
    <row r="19" spans="1:33" x14ac:dyDescent="0.45">
      <c r="A19" t="s">
        <v>20</v>
      </c>
      <c r="B19">
        <v>7.2132201902009534</v>
      </c>
      <c r="F19">
        <v>0.12519101585540873</v>
      </c>
      <c r="O19" t="s">
        <v>55</v>
      </c>
      <c r="R19">
        <f>TTEST(Y14:AA14,Y16:AA16,2,1)</f>
        <v>4.4153455411969815E-3</v>
      </c>
      <c r="X19" s="1" t="s">
        <v>4</v>
      </c>
      <c r="AD19" s="7" t="s">
        <v>58</v>
      </c>
      <c r="AE19" s="7" t="s">
        <v>59</v>
      </c>
      <c r="AF19" s="7" t="s">
        <v>60</v>
      </c>
      <c r="AG19" s="7" t="s">
        <v>61</v>
      </c>
    </row>
    <row r="20" spans="1:33" x14ac:dyDescent="0.45">
      <c r="A20" t="s">
        <v>65</v>
      </c>
      <c r="B20">
        <v>2.2893521206076808</v>
      </c>
      <c r="F20">
        <v>0.37277370469954968</v>
      </c>
      <c r="Y20" t="s">
        <v>0</v>
      </c>
      <c r="Z20" t="s">
        <v>1</v>
      </c>
      <c r="AA20" t="s">
        <v>2</v>
      </c>
      <c r="AC20" t="s">
        <v>20</v>
      </c>
      <c r="AD20">
        <v>4.4153455411969815E-3</v>
      </c>
      <c r="AE20">
        <v>1</v>
      </c>
      <c r="AF20">
        <f>AD14*AE20/AD15</f>
        <v>1.6666666666666666E-2</v>
      </c>
      <c r="AG20" t="s">
        <v>63</v>
      </c>
    </row>
    <row r="21" spans="1:33" x14ac:dyDescent="0.45">
      <c r="A21" t="s">
        <v>49</v>
      </c>
      <c r="B21">
        <v>6.7553729186766516</v>
      </c>
      <c r="C21">
        <v>6.1296038044911754</v>
      </c>
      <c r="D21">
        <v>24.182524889100815</v>
      </c>
      <c r="E21">
        <v>8.5927638839526657E-2</v>
      </c>
      <c r="F21">
        <v>9.7234490273657923E-2</v>
      </c>
      <c r="G21">
        <v>8.7334433071839107E-2</v>
      </c>
      <c r="H21">
        <v>9.8826398557723336E-2</v>
      </c>
      <c r="I21">
        <v>5.8217547379050893</v>
      </c>
      <c r="J21">
        <v>6.5878146087037592</v>
      </c>
      <c r="O21" t="s">
        <v>26</v>
      </c>
      <c r="X21" t="s">
        <v>8</v>
      </c>
      <c r="Y21">
        <v>28.8135593220339</v>
      </c>
      <c r="Z21">
        <v>17.647058823529413</v>
      </c>
      <c r="AA21">
        <v>26.086956521739129</v>
      </c>
      <c r="AC21" t="s">
        <v>7</v>
      </c>
      <c r="AD21">
        <v>2.3778412509469597E-2</v>
      </c>
      <c r="AE21">
        <v>2</v>
      </c>
      <c r="AF21">
        <f>AD14*AE21/AD15</f>
        <v>3.3333333333333333E-2</v>
      </c>
      <c r="AG21" t="s">
        <v>63</v>
      </c>
    </row>
    <row r="22" spans="1:33" x14ac:dyDescent="0.45">
      <c r="A22" t="s">
        <v>50</v>
      </c>
      <c r="B22">
        <v>7.1878066571173163</v>
      </c>
      <c r="C22">
        <v>5.2576447095954819</v>
      </c>
      <c r="D22">
        <v>1.3941899839276111</v>
      </c>
      <c r="E22">
        <v>7.5339284348453439E-2</v>
      </c>
      <c r="F22">
        <v>8.5252859384218102E-2</v>
      </c>
      <c r="G22">
        <v>0.27670754927671193</v>
      </c>
      <c r="H22">
        <v>0.31311831527270645</v>
      </c>
      <c r="I22">
        <v>0.80043249039414699</v>
      </c>
      <c r="J22">
        <v>0.90575798722107892</v>
      </c>
      <c r="O22" t="s">
        <v>53</v>
      </c>
      <c r="R22">
        <f>TTEST(Y21:AA21,Y22:AA22,2,1)</f>
        <v>2.318418396950216E-2</v>
      </c>
      <c r="X22" t="s">
        <v>9</v>
      </c>
      <c r="Y22">
        <v>1.8344370860927151</v>
      </c>
      <c r="Z22">
        <v>1.8778625954198473</v>
      </c>
      <c r="AA22">
        <v>0.4702702702702703</v>
      </c>
      <c r="AC22" t="s">
        <v>21</v>
      </c>
      <c r="AD22" s="6">
        <v>3.0199690902140794E-2</v>
      </c>
      <c r="AE22" s="6">
        <v>3</v>
      </c>
      <c r="AF22" s="6">
        <f>AD14*AE22/AD15</f>
        <v>5.000000000000001E-2</v>
      </c>
      <c r="AG22" s="6" t="s">
        <v>63</v>
      </c>
    </row>
    <row r="23" spans="1:33" x14ac:dyDescent="0.45">
      <c r="A23" t="s">
        <v>51</v>
      </c>
      <c r="B23">
        <v>7.1863251012597429</v>
      </c>
      <c r="C23">
        <v>5.33843324045547</v>
      </c>
      <c r="D23">
        <v>1.5865291599856886</v>
      </c>
      <c r="E23">
        <v>8.5996062440541657E-2</v>
      </c>
      <c r="F23">
        <v>9.7311917444440607E-2</v>
      </c>
      <c r="G23">
        <v>0.19223172724218288</v>
      </c>
      <c r="H23">
        <v>0.21752668018407589</v>
      </c>
      <c r="I23">
        <v>0.92922465942820198</v>
      </c>
      <c r="J23">
        <v>1.0514973683607425</v>
      </c>
      <c r="O23" t="s">
        <v>54</v>
      </c>
      <c r="R23">
        <f>TTEST(Y21:AA21,Y24:AA24,2,1)</f>
        <v>1.864312344190663E-2</v>
      </c>
      <c r="X23" t="s">
        <v>23</v>
      </c>
      <c r="Y23">
        <v>1.7894736842105261</v>
      </c>
      <c r="Z23">
        <v>0.76530612244897955</v>
      </c>
      <c r="AA23">
        <v>1.3395061728395061</v>
      </c>
    </row>
    <row r="24" spans="1:33" x14ac:dyDescent="0.45">
      <c r="A24" t="s">
        <v>52</v>
      </c>
      <c r="B24">
        <v>7.2449223987637543</v>
      </c>
      <c r="C24">
        <v>5.3327574731285958</v>
      </c>
      <c r="D24">
        <v>1.2980953264996706</v>
      </c>
      <c r="E24">
        <v>4.2640331687381614E-2</v>
      </c>
      <c r="F24">
        <v>4.825119103371716E-2</v>
      </c>
      <c r="G24">
        <v>0.15484828121705524</v>
      </c>
      <c r="H24">
        <v>0.1752241059714349</v>
      </c>
      <c r="I24">
        <v>0.51333803900264774</v>
      </c>
      <c r="J24">
        <v>0.58088600169403359</v>
      </c>
      <c r="O24" t="s">
        <v>55</v>
      </c>
      <c r="R24">
        <f>TTEST(Y21:AA21,Y23:AA23,2,1)</f>
        <v>1.7552411510149753E-2</v>
      </c>
      <c r="X24" t="s">
        <v>22</v>
      </c>
      <c r="Y24">
        <v>1.2794117647058825</v>
      </c>
      <c r="Z24">
        <v>0.84974093264248707</v>
      </c>
      <c r="AA24">
        <v>2.6304347826086958</v>
      </c>
      <c r="AC24" t="s">
        <v>26</v>
      </c>
    </row>
    <row r="25" spans="1:33" x14ac:dyDescent="0.45">
      <c r="AD25" s="7" t="s">
        <v>58</v>
      </c>
      <c r="AE25" s="7" t="s">
        <v>59</v>
      </c>
      <c r="AF25" s="7" t="s">
        <v>60</v>
      </c>
      <c r="AG25" s="7" t="s">
        <v>61</v>
      </c>
    </row>
    <row r="26" spans="1:33" x14ac:dyDescent="0.45">
      <c r="AC26" t="s">
        <v>20</v>
      </c>
      <c r="AD26">
        <v>1.7552411510149753E-2</v>
      </c>
      <c r="AE26">
        <v>1</v>
      </c>
      <c r="AF26">
        <f>AD14*AE26/AD15</f>
        <v>1.6666666666666666E-2</v>
      </c>
      <c r="AG26" s="8" t="s">
        <v>64</v>
      </c>
    </row>
    <row r="27" spans="1:33" x14ac:dyDescent="0.45">
      <c r="X27" t="s">
        <v>48</v>
      </c>
      <c r="AC27" t="s">
        <v>21</v>
      </c>
      <c r="AD27">
        <v>1.864312344190663E-2</v>
      </c>
      <c r="AE27">
        <v>2</v>
      </c>
      <c r="AF27">
        <f>AD14*AE27/AD15</f>
        <v>3.3333333333333333E-2</v>
      </c>
      <c r="AG27" t="s">
        <v>63</v>
      </c>
    </row>
    <row r="28" spans="1:33" x14ac:dyDescent="0.45">
      <c r="X28" t="s">
        <v>27</v>
      </c>
      <c r="AC28" t="s">
        <v>7</v>
      </c>
      <c r="AD28">
        <v>2.318418396950216E-2</v>
      </c>
      <c r="AE28">
        <v>3</v>
      </c>
      <c r="AF28">
        <f>AD14*AE28/AD15</f>
        <v>5.000000000000001E-2</v>
      </c>
      <c r="AG28" t="s">
        <v>63</v>
      </c>
    </row>
    <row r="30" spans="1:33" ht="14.65" thickBot="1" x14ac:dyDescent="0.5">
      <c r="X30" t="s">
        <v>28</v>
      </c>
    </row>
    <row r="31" spans="1:33" x14ac:dyDescent="0.45">
      <c r="X31" s="4" t="s">
        <v>29</v>
      </c>
      <c r="Y31" s="4" t="s">
        <v>30</v>
      </c>
      <c r="Z31" s="4" t="s">
        <v>31</v>
      </c>
      <c r="AA31" s="4" t="s">
        <v>11</v>
      </c>
      <c r="AB31" s="4" t="s">
        <v>32</v>
      </c>
    </row>
    <row r="32" spans="1:33" x14ac:dyDescent="0.45">
      <c r="X32" s="2" t="s">
        <v>33</v>
      </c>
      <c r="Y32" s="2">
        <v>3</v>
      </c>
      <c r="Z32" s="2">
        <v>18.388811413473526</v>
      </c>
      <c r="AA32" s="2">
        <v>6.1296038044911754</v>
      </c>
      <c r="AB32" s="2">
        <v>7.6273031999795453E-3</v>
      </c>
    </row>
    <row r="33" spans="24:30" x14ac:dyDescent="0.45">
      <c r="X33" s="2" t="s">
        <v>34</v>
      </c>
      <c r="Y33" s="2">
        <v>3</v>
      </c>
      <c r="Z33" s="2">
        <v>15.772934128786446</v>
      </c>
      <c r="AA33" s="2">
        <v>5.2576447095954819</v>
      </c>
      <c r="AB33" s="2">
        <v>7.656706782672397E-2</v>
      </c>
    </row>
    <row r="34" spans="24:30" x14ac:dyDescent="0.45">
      <c r="X34" s="2" t="s">
        <v>35</v>
      </c>
      <c r="Y34" s="2">
        <v>3</v>
      </c>
      <c r="Z34" s="2">
        <v>15.998272419385788</v>
      </c>
      <c r="AA34" s="2">
        <v>5.3327574731285958</v>
      </c>
      <c r="AB34" s="2">
        <v>2.3977990195876223E-2</v>
      </c>
    </row>
    <row r="35" spans="24:30" ht="14.65" thickBot="1" x14ac:dyDescent="0.5">
      <c r="X35" s="3" t="s">
        <v>36</v>
      </c>
      <c r="Y35" s="3">
        <v>3</v>
      </c>
      <c r="Z35" s="3">
        <v>16.015299721366411</v>
      </c>
      <c r="AA35" s="3">
        <v>5.33843324045547</v>
      </c>
      <c r="AB35" s="3">
        <v>3.6953036958512993E-2</v>
      </c>
    </row>
    <row r="38" spans="24:30" ht="14.65" thickBot="1" x14ac:dyDescent="0.5">
      <c r="X38" t="s">
        <v>37</v>
      </c>
    </row>
    <row r="39" spans="24:30" x14ac:dyDescent="0.45">
      <c r="X39" s="4" t="s">
        <v>38</v>
      </c>
      <c r="Y39" s="4" t="s">
        <v>39</v>
      </c>
      <c r="Z39" s="4" t="s">
        <v>40</v>
      </c>
      <c r="AA39" s="4" t="s">
        <v>41</v>
      </c>
      <c r="AB39" s="4" t="s">
        <v>42</v>
      </c>
      <c r="AC39" s="4" t="s">
        <v>43</v>
      </c>
      <c r="AD39" s="4" t="s">
        <v>44</v>
      </c>
    </row>
    <row r="40" spans="24:30" x14ac:dyDescent="0.45">
      <c r="X40" s="2" t="s">
        <v>45</v>
      </c>
      <c r="Y40" s="2">
        <v>1.5250713965045526</v>
      </c>
      <c r="Z40" s="2">
        <v>3</v>
      </c>
      <c r="AA40" s="2">
        <v>0.50835713216818423</v>
      </c>
      <c r="AB40" s="2">
        <v>14.011527645459763</v>
      </c>
      <c r="AC40" s="2">
        <v>1.5017986909289082E-3</v>
      </c>
      <c r="AD40" s="2">
        <v>4.0661805513511613</v>
      </c>
    </row>
    <row r="41" spans="24:30" x14ac:dyDescent="0.45">
      <c r="X41" s="2" t="s">
        <v>46</v>
      </c>
      <c r="Y41" s="2">
        <v>0.29025079636218548</v>
      </c>
      <c r="Z41" s="2">
        <v>8</v>
      </c>
      <c r="AA41" s="2">
        <v>3.6281349545273185E-2</v>
      </c>
      <c r="AB41" s="2"/>
      <c r="AC41" s="2"/>
      <c r="AD41" s="2"/>
    </row>
    <row r="42" spans="24:30" x14ac:dyDescent="0.45">
      <c r="X42" s="2"/>
      <c r="Y42" s="2"/>
      <c r="Z42" s="2"/>
      <c r="AA42" s="2"/>
      <c r="AB42" s="2"/>
      <c r="AC42" s="2"/>
      <c r="AD42" s="2"/>
    </row>
    <row r="43" spans="24:30" ht="14.65" thickBot="1" x14ac:dyDescent="0.5">
      <c r="X43" s="3" t="s">
        <v>47</v>
      </c>
      <c r="Y43" s="3">
        <v>1.815322192866738</v>
      </c>
      <c r="Z43" s="3">
        <v>11</v>
      </c>
      <c r="AA43" s="3"/>
      <c r="AB43" s="3"/>
      <c r="AC43" s="3"/>
      <c r="AD43" s="3"/>
    </row>
    <row r="46" spans="24:30" x14ac:dyDescent="0.45">
      <c r="X46" t="s">
        <v>26</v>
      </c>
    </row>
    <row r="47" spans="24:30" x14ac:dyDescent="0.45">
      <c r="X47" t="s">
        <v>27</v>
      </c>
    </row>
    <row r="49" spans="24:30" ht="14.65" thickBot="1" x14ac:dyDescent="0.5">
      <c r="X49" t="s">
        <v>28</v>
      </c>
    </row>
    <row r="50" spans="24:30" x14ac:dyDescent="0.45">
      <c r="X50" s="4" t="s">
        <v>29</v>
      </c>
      <c r="Y50" s="4" t="s">
        <v>30</v>
      </c>
      <c r="Z50" s="4" t="s">
        <v>31</v>
      </c>
      <c r="AA50" s="4" t="s">
        <v>11</v>
      </c>
      <c r="AB50" s="4" t="s">
        <v>32</v>
      </c>
    </row>
    <row r="51" spans="24:30" x14ac:dyDescent="0.45">
      <c r="X51" s="2" t="s">
        <v>33</v>
      </c>
      <c r="Y51" s="2">
        <v>3</v>
      </c>
      <c r="Z51" s="2">
        <v>72.547574667302442</v>
      </c>
      <c r="AA51" s="2">
        <v>24.182524889100815</v>
      </c>
      <c r="AB51" s="2">
        <v>33.892828228320354</v>
      </c>
    </row>
    <row r="52" spans="24:30" x14ac:dyDescent="0.45">
      <c r="X52" s="2" t="s">
        <v>34</v>
      </c>
      <c r="Y52" s="2">
        <v>3</v>
      </c>
      <c r="Z52" s="2">
        <v>4.182569951782833</v>
      </c>
      <c r="AA52" s="2">
        <v>1.3941899839276111</v>
      </c>
      <c r="AB52" s="2">
        <v>0.64069217167857628</v>
      </c>
    </row>
    <row r="53" spans="24:30" x14ac:dyDescent="0.45">
      <c r="X53" s="2" t="s">
        <v>35</v>
      </c>
      <c r="Y53" s="2">
        <v>3</v>
      </c>
      <c r="Z53" s="2">
        <v>3.8942859794990117</v>
      </c>
      <c r="AA53" s="2">
        <v>1.2980953264996706</v>
      </c>
      <c r="AB53" s="2">
        <v>0.26351594228708386</v>
      </c>
    </row>
    <row r="54" spans="24:30" ht="14.65" thickBot="1" x14ac:dyDescent="0.5">
      <c r="X54" s="3" t="s">
        <v>36</v>
      </c>
      <c r="Y54" s="3">
        <v>3</v>
      </c>
      <c r="Z54" s="3">
        <v>4.7595874799570659</v>
      </c>
      <c r="AA54" s="3">
        <v>1.5865291599856886</v>
      </c>
      <c r="AB54" s="3">
        <v>0.86345846768945789</v>
      </c>
    </row>
    <row r="57" spans="24:30" ht="14.65" thickBot="1" x14ac:dyDescent="0.5">
      <c r="X57" t="s">
        <v>37</v>
      </c>
    </row>
    <row r="58" spans="24:30" x14ac:dyDescent="0.45">
      <c r="X58" s="4" t="s">
        <v>38</v>
      </c>
      <c r="Y58" s="4" t="s">
        <v>39</v>
      </c>
      <c r="Z58" s="4" t="s">
        <v>40</v>
      </c>
      <c r="AA58" s="4" t="s">
        <v>41</v>
      </c>
      <c r="AB58" s="4" t="s">
        <v>42</v>
      </c>
      <c r="AC58" s="4" t="s">
        <v>43</v>
      </c>
      <c r="AD58" s="4" t="s">
        <v>44</v>
      </c>
    </row>
    <row r="59" spans="24:30" x14ac:dyDescent="0.45">
      <c r="X59" s="2" t="s">
        <v>45</v>
      </c>
      <c r="Y59" s="2">
        <v>1165.2853273232324</v>
      </c>
      <c r="Z59" s="2">
        <v>3</v>
      </c>
      <c r="AA59" s="2">
        <v>388.42844244107749</v>
      </c>
      <c r="AB59" s="2">
        <v>43.56960771418359</v>
      </c>
      <c r="AC59" s="2">
        <v>2.6593853866892235E-5</v>
      </c>
      <c r="AD59" s="2">
        <v>4.0661805513511613</v>
      </c>
    </row>
    <row r="60" spans="24:30" x14ac:dyDescent="0.45">
      <c r="X60" s="2" t="s">
        <v>46</v>
      </c>
      <c r="Y60" s="2">
        <v>71.320989619950893</v>
      </c>
      <c r="Z60" s="2">
        <v>8</v>
      </c>
      <c r="AA60" s="2">
        <v>8.9151237024938617</v>
      </c>
      <c r="AB60" s="2"/>
      <c r="AC60" s="2"/>
      <c r="AD60" s="2"/>
    </row>
    <row r="61" spans="24:30" x14ac:dyDescent="0.45">
      <c r="X61" s="2"/>
      <c r="Y61" s="2"/>
      <c r="Z61" s="2"/>
      <c r="AA61" s="2"/>
      <c r="AB61" s="2"/>
      <c r="AC61" s="2"/>
      <c r="AD61" s="2"/>
    </row>
    <row r="62" spans="24:30" ht="14.65" thickBot="1" x14ac:dyDescent="0.5">
      <c r="X62" s="3" t="s">
        <v>47</v>
      </c>
      <c r="Y62" s="3">
        <v>1236.6063169431834</v>
      </c>
      <c r="Z62" s="3">
        <v>11</v>
      </c>
      <c r="AA62" s="3"/>
      <c r="AB62" s="3"/>
      <c r="AC62" s="3"/>
      <c r="AD6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A +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Eisner</dc:creator>
  <cp:lastModifiedBy>Sabrina Eisner</cp:lastModifiedBy>
  <dcterms:created xsi:type="dcterms:W3CDTF">2021-09-15T15:54:29Z</dcterms:created>
  <dcterms:modified xsi:type="dcterms:W3CDTF">2022-02-10T14:16:23Z</dcterms:modified>
</cp:coreProperties>
</file>