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c7471109\Dropbox\Ciliates_FR_NR_Romana\Dunja_manuscript\L&amp;O_Letters_Submission_Documents\Revision_documents\Dryad_files\"/>
    </mc:Choice>
  </mc:AlternateContent>
  <xr:revisionPtr revIDLastSave="0" documentId="13_ncr:1_{50387F76-7099-4AA7-A50C-62DCEA0A0988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Tabelle1" sheetId="1" r:id="rId1"/>
  </sheets>
  <definedNames>
    <definedName name="_xlnm._FilterDatabase" localSheetId="0" hidden="1">Tabelle1!$B$1:$G$222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D65" i="1"/>
  <c r="D63" i="1"/>
  <c r="G2" i="1" l="1"/>
  <c r="G65" i="1" l="1"/>
  <c r="G64" i="1"/>
  <c r="G63" i="1"/>
  <c r="G74" i="1" l="1"/>
  <c r="G73" i="1"/>
  <c r="G72" i="1"/>
  <c r="G52" i="1" l="1"/>
  <c r="D36" i="1" l="1"/>
  <c r="D66" i="1" l="1"/>
  <c r="D67" i="1"/>
  <c r="D35" i="1" l="1"/>
  <c r="D81" i="1" l="1"/>
  <c r="D80" i="1"/>
  <c r="D79" i="1"/>
  <c r="D78" i="1"/>
  <c r="D77" i="1"/>
  <c r="D76" i="1"/>
  <c r="D75" i="1"/>
  <c r="G70" i="1"/>
  <c r="G125" i="1"/>
  <c r="G124" i="1"/>
  <c r="G36" i="1" l="1"/>
  <c r="G35" i="1"/>
  <c r="G217" i="1" l="1"/>
  <c r="G216" i="1"/>
  <c r="G6" i="1"/>
  <c r="G5" i="1"/>
  <c r="G38" i="1"/>
  <c r="G37" i="1"/>
  <c r="G134" i="1" l="1"/>
  <c r="G135" i="1"/>
  <c r="G136" i="1"/>
  <c r="G131" i="1"/>
  <c r="G132" i="1"/>
  <c r="G133" i="1"/>
  <c r="G8" i="1"/>
  <c r="G31" i="1"/>
  <c r="G123" i="1"/>
  <c r="G122" i="1"/>
  <c r="G129" i="1"/>
  <c r="G87" i="1"/>
  <c r="G215" i="1" l="1"/>
  <c r="G214" i="1"/>
  <c r="G213" i="1"/>
  <c r="G212" i="1"/>
  <c r="G211" i="1"/>
  <c r="G210" i="1"/>
  <c r="G58" i="1"/>
  <c r="G57" i="1"/>
  <c r="G56" i="1"/>
  <c r="G61" i="1"/>
  <c r="G60" i="1"/>
  <c r="G59" i="1"/>
  <c r="G55" i="1"/>
  <c r="G121" i="1"/>
  <c r="G51" i="1"/>
  <c r="G50" i="1"/>
  <c r="G218" i="1"/>
  <c r="G127" i="1" l="1"/>
  <c r="G126" i="1"/>
  <c r="G221" i="1"/>
  <c r="G142" i="1"/>
  <c r="G141" i="1"/>
  <c r="G140" i="1"/>
  <c r="G139" i="1"/>
  <c r="G138" i="1"/>
  <c r="G137" i="1"/>
  <c r="G34" i="1"/>
  <c r="G33" i="1"/>
  <c r="G53" i="1"/>
  <c r="G86" i="1"/>
  <c r="G85" i="1"/>
  <c r="G84" i="1"/>
  <c r="G83" i="1"/>
  <c r="G82" i="1"/>
  <c r="G30" i="1" l="1"/>
  <c r="G29" i="1"/>
  <c r="G28" i="1"/>
  <c r="G27" i="1"/>
  <c r="G26" i="1"/>
  <c r="G25" i="1" l="1"/>
  <c r="G108" i="1" l="1"/>
  <c r="G106" i="1"/>
  <c r="G107" i="1" l="1"/>
  <c r="G176" i="1"/>
  <c r="G115" i="1" l="1"/>
  <c r="G114" i="1"/>
  <c r="G113" i="1"/>
  <c r="G112" i="1"/>
  <c r="G111" i="1"/>
</calcChain>
</file>

<file path=xl/sharedStrings.xml><?xml version="1.0" encoding="utf-8"?>
<sst xmlns="http://schemas.openxmlformats.org/spreadsheetml/2006/main" count="670" uniqueCount="124">
  <si>
    <t>habitat</t>
  </si>
  <si>
    <t>Jürgens &amp; Šimek 2000</t>
  </si>
  <si>
    <t>Halteria cf. grandinella</t>
  </si>
  <si>
    <t>f</t>
  </si>
  <si>
    <t>Weisse et al 2001</t>
  </si>
  <si>
    <t>Balanion planctonicum</t>
  </si>
  <si>
    <t>Urotricha furcata</t>
  </si>
  <si>
    <t>Urotricha farcta</t>
  </si>
  <si>
    <t>Müller &amp; Schlegel 1999</t>
  </si>
  <si>
    <t>Histiobalantium bodamicum</t>
  </si>
  <si>
    <t>Gismervik 2005</t>
  </si>
  <si>
    <t>m</t>
  </si>
  <si>
    <t>Strombidium acutum</t>
  </si>
  <si>
    <t>Lohmanniella oviformis</t>
  </si>
  <si>
    <t>Strombidium conicum</t>
  </si>
  <si>
    <t>Strombidium vestitum</t>
  </si>
  <si>
    <t>Montagnes 1996</t>
  </si>
  <si>
    <t>Strombidium capitatum</t>
  </si>
  <si>
    <t>Jeong et al 2002</t>
  </si>
  <si>
    <t>Tiarina fusus</t>
  </si>
  <si>
    <t>Jeong et al 1999</t>
  </si>
  <si>
    <t>Jeong et al 2007</t>
  </si>
  <si>
    <t>Strombidinopsis jeokjo</t>
  </si>
  <si>
    <t>Jeong et al 2004</t>
  </si>
  <si>
    <t>Buskey &amp; Hyatt 1995</t>
  </si>
  <si>
    <t>Fabrea salina</t>
  </si>
  <si>
    <t>Montagnes &amp; Lessard 1999</t>
  </si>
  <si>
    <t>Strombidinopsis multiauris</t>
  </si>
  <si>
    <t>Kamiyama et al 2005</t>
  </si>
  <si>
    <t>Heinbokel 1978</t>
  </si>
  <si>
    <t>Eutintinnus pectinis</t>
  </si>
  <si>
    <t>Helicostomella subulata</t>
  </si>
  <si>
    <t>Verity 1991</t>
  </si>
  <si>
    <t>Tintinnopsis dadayi</t>
  </si>
  <si>
    <t>Yih et al 2004</t>
  </si>
  <si>
    <t>Mesodinium rubrum</t>
  </si>
  <si>
    <t>Strombidium rassoulzadegani</t>
  </si>
  <si>
    <t>Tarangkoon &amp; Hansen 2011</t>
  </si>
  <si>
    <t>Mesodinium pulex</t>
  </si>
  <si>
    <t>Yang et al 2015</t>
  </si>
  <si>
    <t>Strombidium cf. sulcatum</t>
  </si>
  <si>
    <t>Yang et al 2019</t>
  </si>
  <si>
    <t>Favella ehrenbergii</t>
  </si>
  <si>
    <t>Smith &amp; Hansen 2007</t>
  </si>
  <si>
    <t>Yoo et al 2013</t>
  </si>
  <si>
    <t>Potvin et al 2013</t>
  </si>
  <si>
    <t>Jonsson 1986</t>
  </si>
  <si>
    <t>Li et al 2013</t>
  </si>
  <si>
    <t>Didinium nasutum</t>
  </si>
  <si>
    <t>Rivier et al 1985</t>
  </si>
  <si>
    <t>Strombidium sulcatum</t>
  </si>
  <si>
    <t>Weisse et al 2002</t>
  </si>
  <si>
    <t>Strombidinopsis cheshiri</t>
  </si>
  <si>
    <t>Stabell et al 2002</t>
  </si>
  <si>
    <t>Coleps sp.</t>
  </si>
  <si>
    <t>Rosetta &amp; McManus 2003</t>
  </si>
  <si>
    <t>Hansen 1995</t>
  </si>
  <si>
    <t>Fenchel &amp; Jonsson 1988</t>
  </si>
  <si>
    <t>Verity 1985</t>
  </si>
  <si>
    <t>Tintinnopsis acuminata</t>
  </si>
  <si>
    <t>Tintinnopsis vasculum</t>
  </si>
  <si>
    <t>Weisse 2004</t>
  </si>
  <si>
    <t>Meseres corlissi</t>
  </si>
  <si>
    <t>Jakobsen &amp; Hansen 1997</t>
  </si>
  <si>
    <t>Balanion comatum</t>
  </si>
  <si>
    <t>Jakobsen et al 2001</t>
  </si>
  <si>
    <t>Amphorides quadrilineata</t>
  </si>
  <si>
    <t>Chen et al 2010</t>
  </si>
  <si>
    <t>Glaucomides bromelicola</t>
  </si>
  <si>
    <t>Ohman &amp; Snyder 1991</t>
  </si>
  <si>
    <t>Hong &amp; Choi 2015</t>
  </si>
  <si>
    <t>Urotricha castalia</t>
  </si>
  <si>
    <t>Müller 1991</t>
  </si>
  <si>
    <t>Müller &amp; Geller 1993</t>
  </si>
  <si>
    <t>Pelagostrombidium fallax</t>
  </si>
  <si>
    <t>Rimostrombidium lacustre</t>
  </si>
  <si>
    <t>Weisse &amp; Montagnes 1998</t>
  </si>
  <si>
    <t>Jack &amp; Gilbert 1993</t>
  </si>
  <si>
    <t>ciliate.species</t>
  </si>
  <si>
    <t>Weisse &amp; Rammer 2006</t>
  </si>
  <si>
    <t>Coleps spetai</t>
  </si>
  <si>
    <t>Montagnes et al 1996</t>
  </si>
  <si>
    <t>McManus et al 2004</t>
  </si>
  <si>
    <t>Metacylis angulata</t>
  </si>
  <si>
    <t>Müller &amp; Weisse 1994</t>
  </si>
  <si>
    <t>Chen et al 2020</t>
  </si>
  <si>
    <t>Maselli et al 2020</t>
  </si>
  <si>
    <t>Strombidium cf. basimorphum</t>
  </si>
  <si>
    <t>Strombidium cf. conicum</t>
  </si>
  <si>
    <t>Hansen et al 2012</t>
  </si>
  <si>
    <t>Park et al 2007</t>
  </si>
  <si>
    <t>Strombidium sp. 2</t>
  </si>
  <si>
    <t>Strobilidium sp. 1</t>
  </si>
  <si>
    <t>Strobilidium sp. 2</t>
  </si>
  <si>
    <t>Strobilidium sp. 3</t>
  </si>
  <si>
    <t>Strombidinopsis sp. 1</t>
  </si>
  <si>
    <t>Strombidinopsis sp. 2</t>
  </si>
  <si>
    <t>Strombidinopsis sp. 3</t>
  </si>
  <si>
    <t>Strobilidium caudatum</t>
  </si>
  <si>
    <t>McManus et al 2012</t>
  </si>
  <si>
    <t>Pelagostrobilidium spirale</t>
  </si>
  <si>
    <t>Strombidium coronatum</t>
  </si>
  <si>
    <t>Pelagostrobilidium neptuni</t>
  </si>
  <si>
    <t>Rimostrombidium veniliae</t>
  </si>
  <si>
    <t>Parallelostrombidium siculum</t>
  </si>
  <si>
    <t>Pelagostrobilidium cf. spirale</t>
  </si>
  <si>
    <t>Schoener &amp; McManus 2017</t>
  </si>
  <si>
    <t>Gächter &amp; Weisse 2006</t>
  </si>
  <si>
    <t>Strombidium reticulatum (nomen dubium)</t>
  </si>
  <si>
    <t>Strombidium sp. 1</t>
  </si>
  <si>
    <t>Martinez 1980</t>
  </si>
  <si>
    <t>Halteria sp.</t>
  </si>
  <si>
    <t>Boenigk &amp; Novarino 2004</t>
  </si>
  <si>
    <t>Schmidingerella taraikaensis</t>
  </si>
  <si>
    <t>No</t>
  </si>
  <si>
    <t>study</t>
  </si>
  <si>
    <r>
      <t>temperature (</t>
    </r>
    <r>
      <rPr>
        <b/>
        <sz val="11"/>
        <color theme="1"/>
        <rFont val="Calibri"/>
        <family val="2"/>
      </rPr>
      <t>°</t>
    </r>
    <r>
      <rPr>
        <b/>
        <sz val="12.1"/>
        <color theme="1"/>
        <rFont val="Calibri"/>
        <family val="2"/>
      </rPr>
      <t>C)</t>
    </r>
  </si>
  <si>
    <r>
      <t>r (d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</si>
  <si>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ciliate.volume (µm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</si>
  <si>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Lu et al 2021</t>
  </si>
  <si>
    <t>McManus et al 2010</t>
  </si>
  <si>
    <t>Weisse et al 2013</t>
  </si>
  <si>
    <t>Schoener &amp; McManus 2012</t>
  </si>
  <si>
    <t>Vorticella natans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</si>
</sst>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</font>
    <font>
      <b/>
      <sz val="12.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1" fontId="0" fillId="0" borderId="0" xfId="0" applyNumberFormat="1" applyFill="1"/>
    <xf numFmtId="0" fontId="0" fillId="0" borderId="0" xfId="0" applyFont="1" applyFill="1" applyBorder="1"/>
    <xf numFmtId="165" fontId="0" fillId="0" borderId="0" xfId="0" applyNumberFormat="1" applyFill="1"/>
    <xf numFmtId="2" fontId="0" fillId="0" borderId="0" xfId="0" applyNumberFormat="1" applyFill="1"/>
    <xf numFmtId="164" fontId="0" fillId="0" borderId="0" xfId="0" applyNumberFormat="1" applyFill="1"/>
    <xf numFmtId="164" fontId="0" fillId="0" borderId="0" xfId="0" applyNumberFormat="1" applyFont="1" applyFill="1" applyBorder="1"/>
    <xf numFmtId="0" fontId="2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2"/>
  <sheetViews>
    <sheetView tabSelected="1" zoomScale="110" zoomScaleNormal="110" workbookViewId="0">
      <pane xSplit="3" ySplit="1" topLeftCell="D205" activePane="bottomRight" state="frozen"/>
      <selection pane="topRight" activeCell="E1" sqref="E1"/>
      <selection pane="bottomLeft" activeCell="A2" sqref="A2"/>
      <selection pane="bottomRight" activeCell="A223" sqref="A223:XFD226"/>
    </sheetView>
  </sheetViews>
  <sheetFormatPr baseColWidth="10" defaultColWidth="9.140625" defaultRowHeight="15" x14ac:dyDescent="0.25"/>
  <cols>
    <col min="2" max="2" width="24.85546875" customWidth="1"/>
    <col min="3" max="3" width="28" style="3" customWidth="1"/>
    <col min="4" max="4" width="15.140625" customWidth="1"/>
    <col min="5" max="5" width="9.140625" customWidth="1"/>
    <col min="7" max="7" width="9.140625" customWidth="1"/>
  </cols>
  <sheetData>
    <row r="1" spans="1:7" ht="17.25" x14ac:dyDescent="0.25">
      <c r="A1" s="1" t="s">
        <v>114</v>
      </c>
      <c r="B1" s="1" t="s">
        <v>115</v>
      </c>
      <c r="C1" s="2" t="s">
        <v>78</v>
      </c>
      <c r="D1" s="1" t="s">
        <v>118</v>
      </c>
      <c r="E1" s="1" t="s">
        <v>0</v>
      </c>
      <c r="F1" s="1" t="s">
        <v>116</v>
      </c>
      <c r="G1" s="1" t="s">
        <v>117</v>
      </c>
    </row>
    <row r="2" spans="1:7" s="4" customFormat="1" x14ac:dyDescent="0.25">
      <c r="A2" s="4">
        <v>1</v>
      </c>
      <c r="B2" s="4" t="s">
        <v>112</v>
      </c>
      <c r="C2" s="5" t="s">
        <v>111</v>
      </c>
      <c r="D2" s="4">
        <v>10630</v>
      </c>
      <c r="E2" s="4" t="s">
        <v>3</v>
      </c>
      <c r="F2" s="4">
        <v>20</v>
      </c>
      <c r="G2" s="4">
        <f>0.076*24</f>
        <v>1.8239999999999998</v>
      </c>
    </row>
    <row r="3" spans="1:7" s="4" customFormat="1" x14ac:dyDescent="0.25">
      <c r="A3" s="4">
        <v>2</v>
      </c>
      <c r="B3" s="4" t="s">
        <v>24</v>
      </c>
      <c r="C3" s="5" t="s">
        <v>96</v>
      </c>
      <c r="D3" s="4">
        <v>110433</v>
      </c>
      <c r="E3" s="4" t="s">
        <v>11</v>
      </c>
      <c r="F3" s="4">
        <v>20</v>
      </c>
      <c r="G3" s="4">
        <v>0.9476</v>
      </c>
    </row>
    <row r="4" spans="1:7" s="4" customFormat="1" x14ac:dyDescent="0.25">
      <c r="A4" s="4">
        <v>2</v>
      </c>
      <c r="B4" s="4" t="s">
        <v>24</v>
      </c>
      <c r="C4" s="5" t="s">
        <v>25</v>
      </c>
      <c r="D4" s="4">
        <v>515737.5</v>
      </c>
      <c r="E4" s="4" t="s">
        <v>11</v>
      </c>
      <c r="F4" s="4">
        <v>20</v>
      </c>
      <c r="G4" s="4">
        <v>0.70850000000000002</v>
      </c>
    </row>
    <row r="5" spans="1:7" s="4" customFormat="1" x14ac:dyDescent="0.25">
      <c r="A5" s="4">
        <v>3</v>
      </c>
      <c r="B5" s="4" t="s">
        <v>67</v>
      </c>
      <c r="C5" s="5" t="s">
        <v>94</v>
      </c>
      <c r="D5" s="4">
        <v>33510.321638291127</v>
      </c>
      <c r="E5" s="4" t="s">
        <v>11</v>
      </c>
      <c r="F5" s="4">
        <v>26</v>
      </c>
      <c r="G5" s="4">
        <f>(2.9985+2.9338+2.8225)/3</f>
        <v>2.9182666666666663</v>
      </c>
    </row>
    <row r="6" spans="1:7" s="4" customFormat="1" x14ac:dyDescent="0.25">
      <c r="A6" s="4">
        <v>3</v>
      </c>
      <c r="B6" s="4" t="s">
        <v>67</v>
      </c>
      <c r="C6" s="5" t="s">
        <v>94</v>
      </c>
      <c r="D6" s="4">
        <v>33510.321638291127</v>
      </c>
      <c r="E6" s="4" t="s">
        <v>11</v>
      </c>
      <c r="F6" s="4">
        <v>26</v>
      </c>
      <c r="G6" s="4">
        <f>(1.7911+1.8514+2.111)/3</f>
        <v>1.9178333333333335</v>
      </c>
    </row>
    <row r="7" spans="1:7" s="4" customFormat="1" x14ac:dyDescent="0.25">
      <c r="A7" s="4">
        <v>4</v>
      </c>
      <c r="B7" s="4" t="s">
        <v>85</v>
      </c>
      <c r="C7" s="5" t="s">
        <v>91</v>
      </c>
      <c r="D7" s="4">
        <v>13789.473684210527</v>
      </c>
      <c r="E7" s="4" t="s">
        <v>11</v>
      </c>
      <c r="F7" s="4">
        <v>25</v>
      </c>
      <c r="G7" s="4">
        <v>1.1838</v>
      </c>
    </row>
    <row r="8" spans="1:7" s="4" customFormat="1" x14ac:dyDescent="0.25">
      <c r="A8" s="4">
        <v>5</v>
      </c>
      <c r="B8" s="4" t="s">
        <v>57</v>
      </c>
      <c r="C8" s="5" t="s">
        <v>50</v>
      </c>
      <c r="D8" s="4">
        <v>9000</v>
      </c>
      <c r="E8" s="4" t="s">
        <v>11</v>
      </c>
      <c r="F8" s="4">
        <v>20</v>
      </c>
      <c r="G8" s="4">
        <f>((0.0921+0.0999)/2)*24</f>
        <v>2.3040000000000003</v>
      </c>
    </row>
    <row r="9" spans="1:7" s="4" customFormat="1" x14ac:dyDescent="0.25">
      <c r="A9" s="4">
        <v>6</v>
      </c>
      <c r="B9" s="4" t="s">
        <v>107</v>
      </c>
      <c r="C9" s="5" t="s">
        <v>62</v>
      </c>
      <c r="D9" s="4">
        <v>124250</v>
      </c>
      <c r="E9" s="4" t="s">
        <v>3</v>
      </c>
      <c r="F9" s="4">
        <v>12.5</v>
      </c>
      <c r="G9" s="4">
        <v>0.58499999999999996</v>
      </c>
    </row>
    <row r="10" spans="1:7" s="4" customFormat="1" x14ac:dyDescent="0.25">
      <c r="A10" s="4">
        <v>6</v>
      </c>
      <c r="B10" s="4" t="s">
        <v>107</v>
      </c>
      <c r="C10" s="5" t="s">
        <v>62</v>
      </c>
      <c r="D10" s="4">
        <v>112990</v>
      </c>
      <c r="E10" s="4" t="s">
        <v>3</v>
      </c>
      <c r="F10" s="4">
        <v>15</v>
      </c>
      <c r="G10" s="4">
        <v>0.75700000000000001</v>
      </c>
    </row>
    <row r="11" spans="1:7" s="4" customFormat="1" x14ac:dyDescent="0.25">
      <c r="A11" s="4">
        <v>6</v>
      </c>
      <c r="B11" s="4" t="s">
        <v>107</v>
      </c>
      <c r="C11" s="5" t="s">
        <v>62</v>
      </c>
      <c r="D11" s="4">
        <v>99908.94</v>
      </c>
      <c r="E11" s="4" t="s">
        <v>3</v>
      </c>
      <c r="F11" s="4">
        <v>17.5</v>
      </c>
      <c r="G11" s="4">
        <v>0.86</v>
      </c>
    </row>
    <row r="12" spans="1:7" s="4" customFormat="1" x14ac:dyDescent="0.25">
      <c r="A12" s="4">
        <v>6</v>
      </c>
      <c r="B12" s="4" t="s">
        <v>107</v>
      </c>
      <c r="C12" s="5" t="s">
        <v>62</v>
      </c>
      <c r="D12" s="4">
        <v>88649.44</v>
      </c>
      <c r="E12" s="4" t="s">
        <v>3</v>
      </c>
      <c r="F12" s="4">
        <v>20</v>
      </c>
      <c r="G12" s="4">
        <v>1.1579999999999999</v>
      </c>
    </row>
    <row r="13" spans="1:7" s="4" customFormat="1" x14ac:dyDescent="0.25">
      <c r="A13" s="4">
        <v>6</v>
      </c>
      <c r="B13" s="4" t="s">
        <v>107</v>
      </c>
      <c r="C13" s="5" t="s">
        <v>62</v>
      </c>
      <c r="D13" s="4">
        <v>96733.08</v>
      </c>
      <c r="E13" s="4" t="s">
        <v>3</v>
      </c>
      <c r="F13" s="4">
        <v>22.5</v>
      </c>
      <c r="G13" s="4">
        <v>1.41</v>
      </c>
    </row>
    <row r="14" spans="1:7" s="4" customFormat="1" x14ac:dyDescent="0.25">
      <c r="A14" s="4">
        <v>6</v>
      </c>
      <c r="B14" s="4" t="s">
        <v>107</v>
      </c>
      <c r="C14" s="5" t="s">
        <v>62</v>
      </c>
      <c r="D14" s="4">
        <v>82188.89</v>
      </c>
      <c r="E14" s="4" t="s">
        <v>3</v>
      </c>
      <c r="F14" s="4">
        <v>25</v>
      </c>
      <c r="G14" s="4">
        <v>1.9710000000000001</v>
      </c>
    </row>
    <row r="15" spans="1:7" s="4" customFormat="1" x14ac:dyDescent="0.25">
      <c r="A15" s="4">
        <v>6</v>
      </c>
      <c r="B15" s="4" t="s">
        <v>107</v>
      </c>
      <c r="C15" s="5" t="s">
        <v>62</v>
      </c>
      <c r="D15" s="4">
        <v>86623.62</v>
      </c>
      <c r="E15" s="4" t="s">
        <v>3</v>
      </c>
      <c r="F15" s="4">
        <v>27.5</v>
      </c>
      <c r="G15" s="4">
        <v>1.8</v>
      </c>
    </row>
    <row r="16" spans="1:7" s="4" customFormat="1" x14ac:dyDescent="0.25">
      <c r="A16" s="4">
        <v>6</v>
      </c>
      <c r="B16" s="4" t="s">
        <v>107</v>
      </c>
      <c r="C16" s="5" t="s">
        <v>62</v>
      </c>
      <c r="D16" s="4">
        <v>87407.96</v>
      </c>
      <c r="E16" s="4" t="s">
        <v>3</v>
      </c>
      <c r="F16" s="4">
        <v>29.5</v>
      </c>
      <c r="G16" s="4">
        <v>2.395</v>
      </c>
    </row>
    <row r="17" spans="1:7" s="4" customFormat="1" x14ac:dyDescent="0.25">
      <c r="A17" s="4">
        <v>6</v>
      </c>
      <c r="B17" s="4" t="s">
        <v>107</v>
      </c>
      <c r="C17" s="5" t="s">
        <v>62</v>
      </c>
      <c r="D17" s="4">
        <v>67737.62</v>
      </c>
      <c r="E17" s="4" t="s">
        <v>3</v>
      </c>
      <c r="F17" s="4">
        <v>15</v>
      </c>
      <c r="G17" s="4">
        <v>0.17319999999999999</v>
      </c>
    </row>
    <row r="18" spans="1:7" s="4" customFormat="1" x14ac:dyDescent="0.25">
      <c r="A18" s="4">
        <v>6</v>
      </c>
      <c r="B18" s="4" t="s">
        <v>107</v>
      </c>
      <c r="C18" s="5" t="s">
        <v>62</v>
      </c>
      <c r="D18" s="4">
        <v>49908.75</v>
      </c>
      <c r="E18" s="4" t="s">
        <v>3</v>
      </c>
      <c r="F18" s="4">
        <v>17.5</v>
      </c>
      <c r="G18" s="4">
        <v>0.51600000000000001</v>
      </c>
    </row>
    <row r="19" spans="1:7" s="4" customFormat="1" x14ac:dyDescent="0.25">
      <c r="A19" s="4">
        <v>6</v>
      </c>
      <c r="B19" s="4" t="s">
        <v>107</v>
      </c>
      <c r="C19" s="5" t="s">
        <v>62</v>
      </c>
      <c r="D19" s="4">
        <v>45218.62</v>
      </c>
      <c r="E19" s="4" t="s">
        <v>3</v>
      </c>
      <c r="F19" s="4">
        <v>20</v>
      </c>
      <c r="G19" s="4">
        <v>0.94</v>
      </c>
    </row>
    <row r="20" spans="1:7" s="4" customFormat="1" x14ac:dyDescent="0.25">
      <c r="A20" s="4">
        <v>6</v>
      </c>
      <c r="B20" s="4" t="s">
        <v>107</v>
      </c>
      <c r="C20" s="5" t="s">
        <v>62</v>
      </c>
      <c r="D20" s="4">
        <v>40528.49</v>
      </c>
      <c r="E20" s="4" t="s">
        <v>3</v>
      </c>
      <c r="F20" s="4">
        <v>22.5</v>
      </c>
      <c r="G20" s="4">
        <v>0.998</v>
      </c>
    </row>
    <row r="21" spans="1:7" s="4" customFormat="1" x14ac:dyDescent="0.25">
      <c r="A21" s="4">
        <v>6</v>
      </c>
      <c r="B21" s="4" t="s">
        <v>107</v>
      </c>
      <c r="C21" s="5" t="s">
        <v>62</v>
      </c>
      <c r="D21" s="4">
        <v>45328.18</v>
      </c>
      <c r="E21" s="4" t="s">
        <v>3</v>
      </c>
      <c r="F21" s="4">
        <v>25</v>
      </c>
      <c r="G21" s="4">
        <v>1.101</v>
      </c>
    </row>
    <row r="22" spans="1:7" s="4" customFormat="1" x14ac:dyDescent="0.25">
      <c r="A22" s="4">
        <v>6</v>
      </c>
      <c r="B22" s="4" t="s">
        <v>107</v>
      </c>
      <c r="C22" s="5" t="s">
        <v>62</v>
      </c>
      <c r="D22" s="4">
        <v>41003.01</v>
      </c>
      <c r="E22" s="4" t="s">
        <v>3</v>
      </c>
      <c r="F22" s="4">
        <v>27.5</v>
      </c>
      <c r="G22" s="4">
        <v>1.411</v>
      </c>
    </row>
    <row r="23" spans="1:7" s="4" customFormat="1" x14ac:dyDescent="0.25">
      <c r="A23" s="4">
        <v>6</v>
      </c>
      <c r="B23" s="4" t="s">
        <v>107</v>
      </c>
      <c r="C23" s="5" t="s">
        <v>62</v>
      </c>
      <c r="D23" s="4">
        <v>39941.660000000003</v>
      </c>
      <c r="E23" s="4" t="s">
        <v>3</v>
      </c>
      <c r="F23" s="4">
        <v>29</v>
      </c>
      <c r="G23" s="4">
        <v>1.754</v>
      </c>
    </row>
    <row r="24" spans="1:7" s="4" customFormat="1" x14ac:dyDescent="0.25">
      <c r="A24" s="4">
        <v>6</v>
      </c>
      <c r="B24" s="4" t="s">
        <v>107</v>
      </c>
      <c r="C24" s="5" t="s">
        <v>62</v>
      </c>
      <c r="D24" s="4">
        <v>43977.89</v>
      </c>
      <c r="E24" s="4" t="s">
        <v>3</v>
      </c>
      <c r="F24" s="4">
        <v>29.5</v>
      </c>
      <c r="G24" s="4">
        <v>1.502</v>
      </c>
    </row>
    <row r="25" spans="1:7" s="4" customFormat="1" x14ac:dyDescent="0.25">
      <c r="A25" s="4">
        <v>7</v>
      </c>
      <c r="B25" s="4" t="s">
        <v>10</v>
      </c>
      <c r="C25" s="5" t="s">
        <v>100</v>
      </c>
      <c r="D25" s="4">
        <v>68453</v>
      </c>
      <c r="E25" s="4" t="s">
        <v>11</v>
      </c>
      <c r="F25" s="4">
        <v>14</v>
      </c>
      <c r="G25" s="4">
        <f>(1.4233+1.3824+1.1895)/3</f>
        <v>1.3317333333333332</v>
      </c>
    </row>
    <row r="26" spans="1:7" s="4" customFormat="1" x14ac:dyDescent="0.25">
      <c r="A26" s="4">
        <v>7</v>
      </c>
      <c r="B26" s="4" t="s">
        <v>10</v>
      </c>
      <c r="C26" s="5" t="s">
        <v>101</v>
      </c>
      <c r="D26" s="4">
        <v>28420</v>
      </c>
      <c r="E26" s="4" t="s">
        <v>11</v>
      </c>
      <c r="F26" s="4">
        <v>12.5</v>
      </c>
      <c r="G26" s="4">
        <f>(0.5859+0.5824+0.5687)/3</f>
        <v>0.57899999999999996</v>
      </c>
    </row>
    <row r="27" spans="1:7" s="4" customFormat="1" x14ac:dyDescent="0.25">
      <c r="A27" s="4">
        <v>7</v>
      </c>
      <c r="B27" s="4" t="s">
        <v>10</v>
      </c>
      <c r="C27" s="5" t="s">
        <v>12</v>
      </c>
      <c r="D27" s="4">
        <v>28686</v>
      </c>
      <c r="E27" s="4" t="s">
        <v>11</v>
      </c>
      <c r="F27" s="4">
        <v>11</v>
      </c>
      <c r="G27" s="4">
        <f>(0.3676+0.3742)/2</f>
        <v>0.37090000000000001</v>
      </c>
    </row>
    <row r="28" spans="1:7" s="4" customFormat="1" x14ac:dyDescent="0.25">
      <c r="A28" s="4">
        <v>7</v>
      </c>
      <c r="B28" s="4" t="s">
        <v>10</v>
      </c>
      <c r="C28" s="5" t="s">
        <v>13</v>
      </c>
      <c r="D28" s="4">
        <v>3799</v>
      </c>
      <c r="E28" s="4" t="s">
        <v>11</v>
      </c>
      <c r="F28" s="4">
        <v>11</v>
      </c>
      <c r="G28" s="4">
        <f>(0.2014+0.4581)/2</f>
        <v>0.32974999999999999</v>
      </c>
    </row>
    <row r="29" spans="1:7" s="4" customFormat="1" x14ac:dyDescent="0.25">
      <c r="A29" s="4">
        <v>7</v>
      </c>
      <c r="B29" s="4" t="s">
        <v>10</v>
      </c>
      <c r="C29" s="5" t="s">
        <v>14</v>
      </c>
      <c r="D29" s="4">
        <v>38299</v>
      </c>
      <c r="E29" s="4" t="s">
        <v>11</v>
      </c>
      <c r="F29" s="4">
        <v>11</v>
      </c>
      <c r="G29" s="4">
        <f>(0.5864+0.6474+0.471)/3</f>
        <v>0.5682666666666667</v>
      </c>
    </row>
    <row r="30" spans="1:7" s="4" customFormat="1" x14ac:dyDescent="0.25">
      <c r="A30" s="4">
        <v>7</v>
      </c>
      <c r="B30" s="4" t="s">
        <v>10</v>
      </c>
      <c r="C30" s="5" t="s">
        <v>15</v>
      </c>
      <c r="D30" s="4">
        <v>8205</v>
      </c>
      <c r="E30" s="4" t="s">
        <v>11</v>
      </c>
      <c r="F30" s="4">
        <v>14</v>
      </c>
      <c r="G30" s="4">
        <f>(0.7882+0.8215+0.9016)/3</f>
        <v>0.83710000000000007</v>
      </c>
    </row>
    <row r="31" spans="1:7" s="4" customFormat="1" x14ac:dyDescent="0.25">
      <c r="A31" s="4">
        <v>8</v>
      </c>
      <c r="B31" s="4" t="s">
        <v>56</v>
      </c>
      <c r="C31" s="5" t="s">
        <v>42</v>
      </c>
      <c r="D31" s="4">
        <v>215834.19987000001</v>
      </c>
      <c r="E31" s="4" t="s">
        <v>11</v>
      </c>
      <c r="F31" s="4">
        <v>15</v>
      </c>
      <c r="G31" s="4">
        <f>0.034*24</f>
        <v>0.81600000000000006</v>
      </c>
    </row>
    <row r="32" spans="1:7" s="4" customFormat="1" x14ac:dyDescent="0.25">
      <c r="A32" s="4">
        <v>9</v>
      </c>
      <c r="B32" s="4" t="s">
        <v>89</v>
      </c>
      <c r="C32" s="5" t="s">
        <v>35</v>
      </c>
      <c r="D32" s="4">
        <v>2666.74</v>
      </c>
      <c r="E32" s="4" t="s">
        <v>11</v>
      </c>
      <c r="F32" s="4">
        <v>20</v>
      </c>
      <c r="G32" s="4">
        <v>0.39</v>
      </c>
    </row>
    <row r="33" spans="1:7" s="4" customFormat="1" x14ac:dyDescent="0.25">
      <c r="A33" s="4">
        <v>10</v>
      </c>
      <c r="B33" s="4" t="s">
        <v>29</v>
      </c>
      <c r="C33" s="5" t="s">
        <v>30</v>
      </c>
      <c r="D33" s="4">
        <v>13894</v>
      </c>
      <c r="E33" s="4" t="s">
        <v>11</v>
      </c>
      <c r="F33" s="4">
        <v>18</v>
      </c>
      <c r="G33" s="4">
        <f>0.0591*24</f>
        <v>1.4184000000000001</v>
      </c>
    </row>
    <row r="34" spans="1:7" s="4" customFormat="1" x14ac:dyDescent="0.25">
      <c r="A34" s="4">
        <v>10</v>
      </c>
      <c r="B34" s="4" t="s">
        <v>29</v>
      </c>
      <c r="C34" s="5" t="s">
        <v>31</v>
      </c>
      <c r="D34" s="4">
        <v>14542</v>
      </c>
      <c r="E34" s="4" t="s">
        <v>11</v>
      </c>
      <c r="F34" s="4">
        <v>18</v>
      </c>
      <c r="G34" s="4">
        <f>((0.0347+0.0211)/2)*24</f>
        <v>0.66959999999999997</v>
      </c>
    </row>
    <row r="35" spans="1:7" s="4" customFormat="1" x14ac:dyDescent="0.25">
      <c r="A35" s="4">
        <v>11</v>
      </c>
      <c r="B35" s="4" t="s">
        <v>70</v>
      </c>
      <c r="C35" s="5" t="s">
        <v>25</v>
      </c>
      <c r="D35" s="4">
        <f>(429660+518780+555230+559280)/4</f>
        <v>515737.5</v>
      </c>
      <c r="E35" s="4" t="s">
        <v>11</v>
      </c>
      <c r="F35" s="4">
        <v>30</v>
      </c>
      <c r="G35" s="4">
        <f>(1.3368+1.2585+1.2194)/3</f>
        <v>1.2715666666666667</v>
      </c>
    </row>
    <row r="36" spans="1:7" s="4" customFormat="1" x14ac:dyDescent="0.25">
      <c r="A36" s="4">
        <v>12</v>
      </c>
      <c r="B36" s="4" t="s">
        <v>77</v>
      </c>
      <c r="C36" s="4" t="s">
        <v>98</v>
      </c>
      <c r="D36" s="4">
        <f>23*10^3</f>
        <v>23000</v>
      </c>
      <c r="E36" s="4" t="s">
        <v>3</v>
      </c>
      <c r="F36" s="4">
        <v>20</v>
      </c>
      <c r="G36" s="4">
        <f>(0.7115+0.6901+0.6795)/3</f>
        <v>0.69370000000000009</v>
      </c>
    </row>
    <row r="37" spans="1:7" s="4" customFormat="1" x14ac:dyDescent="0.25">
      <c r="A37" s="4">
        <v>13</v>
      </c>
      <c r="B37" s="4" t="s">
        <v>63</v>
      </c>
      <c r="C37" s="5" t="s">
        <v>64</v>
      </c>
      <c r="D37" s="4">
        <v>2500</v>
      </c>
      <c r="E37" s="4" t="s">
        <v>11</v>
      </c>
      <c r="F37" s="4">
        <v>15</v>
      </c>
      <c r="G37" s="4">
        <f>0.0571*24</f>
        <v>1.3704000000000001</v>
      </c>
    </row>
    <row r="38" spans="1:7" s="4" customFormat="1" x14ac:dyDescent="0.25">
      <c r="A38" s="4">
        <v>14</v>
      </c>
      <c r="B38" s="4" t="s">
        <v>65</v>
      </c>
      <c r="C38" s="5" t="s">
        <v>66</v>
      </c>
      <c r="D38" s="4">
        <v>20000</v>
      </c>
      <c r="E38" s="4" t="s">
        <v>11</v>
      </c>
      <c r="F38" s="4">
        <v>21</v>
      </c>
      <c r="G38" s="4">
        <f>0.3509</f>
        <v>0.35089999999999999</v>
      </c>
    </row>
    <row r="39" spans="1:7" s="4" customFormat="1" x14ac:dyDescent="0.25">
      <c r="A39" s="4">
        <v>15</v>
      </c>
      <c r="B39" s="4" t="s">
        <v>20</v>
      </c>
      <c r="C39" s="5" t="s">
        <v>95</v>
      </c>
      <c r="D39" s="4">
        <v>560000</v>
      </c>
      <c r="E39" s="4" t="s">
        <v>11</v>
      </c>
      <c r="F39" s="4">
        <v>19</v>
      </c>
      <c r="G39" s="8">
        <v>1.2184999999999999</v>
      </c>
    </row>
    <row r="40" spans="1:7" s="4" customFormat="1" x14ac:dyDescent="0.25">
      <c r="A40" s="4">
        <v>15</v>
      </c>
      <c r="B40" s="4" t="s">
        <v>20</v>
      </c>
      <c r="C40" s="5" t="s">
        <v>95</v>
      </c>
      <c r="D40" s="4">
        <v>560000</v>
      </c>
      <c r="E40" s="4" t="s">
        <v>11</v>
      </c>
      <c r="F40" s="4">
        <v>19</v>
      </c>
      <c r="G40" s="4">
        <v>1.2094</v>
      </c>
    </row>
    <row r="41" spans="1:7" s="4" customFormat="1" x14ac:dyDescent="0.25">
      <c r="A41" s="4">
        <v>15</v>
      </c>
      <c r="B41" s="4" t="s">
        <v>20</v>
      </c>
      <c r="C41" s="5" t="s">
        <v>95</v>
      </c>
      <c r="D41" s="4">
        <v>560000</v>
      </c>
      <c r="E41" s="4" t="s">
        <v>11</v>
      </c>
      <c r="F41" s="4">
        <v>19</v>
      </c>
      <c r="G41" s="4">
        <v>0.93859999999999999</v>
      </c>
    </row>
    <row r="42" spans="1:7" s="4" customFormat="1" x14ac:dyDescent="0.25">
      <c r="A42" s="4">
        <v>15</v>
      </c>
      <c r="B42" s="4" t="s">
        <v>20</v>
      </c>
      <c r="C42" s="5" t="s">
        <v>95</v>
      </c>
      <c r="D42" s="4">
        <v>560000</v>
      </c>
      <c r="E42" s="4" t="s">
        <v>11</v>
      </c>
      <c r="F42" s="4">
        <v>19</v>
      </c>
      <c r="G42" s="4">
        <v>0.81100000000000005</v>
      </c>
    </row>
    <row r="43" spans="1:7" s="4" customFormat="1" x14ac:dyDescent="0.25">
      <c r="A43" s="4">
        <v>15</v>
      </c>
      <c r="B43" s="4" t="s">
        <v>20</v>
      </c>
      <c r="C43" s="5" t="s">
        <v>95</v>
      </c>
      <c r="D43" s="4">
        <v>560000</v>
      </c>
      <c r="E43" s="4" t="s">
        <v>11</v>
      </c>
      <c r="F43" s="4">
        <v>19</v>
      </c>
      <c r="G43" s="4">
        <v>0.53210000000000002</v>
      </c>
    </row>
    <row r="44" spans="1:7" s="4" customFormat="1" x14ac:dyDescent="0.25">
      <c r="A44" s="4">
        <v>16</v>
      </c>
      <c r="B44" s="4" t="s">
        <v>18</v>
      </c>
      <c r="C44" s="5" t="s">
        <v>19</v>
      </c>
      <c r="D44" s="4">
        <v>25400</v>
      </c>
      <c r="E44" s="4" t="s">
        <v>11</v>
      </c>
      <c r="F44" s="4">
        <v>19</v>
      </c>
      <c r="G44" s="4">
        <v>0.46339999999999998</v>
      </c>
    </row>
    <row r="45" spans="1:7" s="4" customFormat="1" x14ac:dyDescent="0.25">
      <c r="A45" s="4">
        <v>16</v>
      </c>
      <c r="B45" s="4" t="s">
        <v>18</v>
      </c>
      <c r="C45" s="5" t="s">
        <v>19</v>
      </c>
      <c r="D45" s="4">
        <v>25400</v>
      </c>
      <c r="E45" s="4" t="s">
        <v>11</v>
      </c>
      <c r="F45" s="4">
        <v>19</v>
      </c>
      <c r="G45" s="4">
        <v>0.17269999999999999</v>
      </c>
    </row>
    <row r="46" spans="1:7" s="4" customFormat="1" x14ac:dyDescent="0.25">
      <c r="A46" s="4">
        <v>17</v>
      </c>
      <c r="B46" s="4" t="s">
        <v>23</v>
      </c>
      <c r="C46" s="5" t="s">
        <v>22</v>
      </c>
      <c r="D46" s="4">
        <v>382279.46610000002</v>
      </c>
      <c r="E46" s="4" t="s">
        <v>11</v>
      </c>
      <c r="F46" s="4">
        <v>20</v>
      </c>
      <c r="G46" s="4">
        <v>0.55740000000000001</v>
      </c>
    </row>
    <row r="47" spans="1:7" s="4" customFormat="1" x14ac:dyDescent="0.25">
      <c r="A47" s="4">
        <v>17</v>
      </c>
      <c r="B47" s="4" t="s">
        <v>23</v>
      </c>
      <c r="C47" s="5" t="s">
        <v>22</v>
      </c>
      <c r="D47" s="4">
        <v>382279.46610000002</v>
      </c>
      <c r="E47" s="4" t="s">
        <v>11</v>
      </c>
      <c r="F47" s="4">
        <v>20</v>
      </c>
      <c r="G47" s="4">
        <v>0.5373</v>
      </c>
    </row>
    <row r="48" spans="1:7" s="4" customFormat="1" x14ac:dyDescent="0.25">
      <c r="A48" s="4">
        <v>18</v>
      </c>
      <c r="B48" s="4" t="s">
        <v>21</v>
      </c>
      <c r="C48" s="5" t="s">
        <v>22</v>
      </c>
      <c r="D48" s="4">
        <v>382279.46610000002</v>
      </c>
      <c r="E48" s="4" t="s">
        <v>11</v>
      </c>
      <c r="F48" s="4">
        <v>20</v>
      </c>
      <c r="G48" s="4">
        <v>1.5034000000000001</v>
      </c>
    </row>
    <row r="49" spans="1:7" s="4" customFormat="1" x14ac:dyDescent="0.25">
      <c r="A49" s="4">
        <v>18</v>
      </c>
      <c r="B49" s="4" t="s">
        <v>21</v>
      </c>
      <c r="C49" s="5" t="s">
        <v>22</v>
      </c>
      <c r="D49" s="4">
        <v>382279.46610000002</v>
      </c>
      <c r="E49" s="4" t="s">
        <v>11</v>
      </c>
      <c r="F49" s="4">
        <v>20</v>
      </c>
      <c r="G49" s="4">
        <v>1.4876</v>
      </c>
    </row>
    <row r="50" spans="1:7" s="4" customFormat="1" x14ac:dyDescent="0.25">
      <c r="A50" s="4">
        <v>19</v>
      </c>
      <c r="B50" s="4" t="s">
        <v>46</v>
      </c>
      <c r="C50" s="5" t="s">
        <v>108</v>
      </c>
      <c r="D50" s="4">
        <v>40000</v>
      </c>
      <c r="E50" s="4" t="s">
        <v>11</v>
      </c>
      <c r="F50" s="4">
        <v>12</v>
      </c>
      <c r="G50" s="4">
        <f>0.032*24</f>
        <v>0.76800000000000002</v>
      </c>
    </row>
    <row r="51" spans="1:7" s="4" customFormat="1" x14ac:dyDescent="0.25">
      <c r="A51" s="4">
        <v>19</v>
      </c>
      <c r="B51" s="4" t="s">
        <v>46</v>
      </c>
      <c r="C51" s="5" t="s">
        <v>100</v>
      </c>
      <c r="D51" s="4">
        <v>150000</v>
      </c>
      <c r="E51" s="4" t="s">
        <v>11</v>
      </c>
      <c r="F51" s="4">
        <v>12</v>
      </c>
      <c r="G51" s="4">
        <f>0.044*24</f>
        <v>1.056</v>
      </c>
    </row>
    <row r="52" spans="1:7" s="4" customFormat="1" x14ac:dyDescent="0.25">
      <c r="A52" s="4">
        <v>20</v>
      </c>
      <c r="B52" s="4" t="s">
        <v>1</v>
      </c>
      <c r="C52" s="5" t="s">
        <v>2</v>
      </c>
      <c r="D52" s="4">
        <v>3754</v>
      </c>
      <c r="E52" s="4" t="s">
        <v>3</v>
      </c>
      <c r="F52" s="4">
        <v>16.5</v>
      </c>
      <c r="G52" s="4">
        <f>0.05*24</f>
        <v>1.2000000000000002</v>
      </c>
    </row>
    <row r="53" spans="1:7" s="4" customFormat="1" x14ac:dyDescent="0.25">
      <c r="A53" s="4">
        <v>21</v>
      </c>
      <c r="B53" s="4" t="s">
        <v>28</v>
      </c>
      <c r="C53" s="7" t="s">
        <v>113</v>
      </c>
      <c r="D53" s="4">
        <v>248000</v>
      </c>
      <c r="E53" s="4" t="s">
        <v>11</v>
      </c>
      <c r="F53" s="4">
        <v>15</v>
      </c>
      <c r="G53" s="4">
        <f>(1.3954+1.2953+1.2759+1.0313)/4</f>
        <v>1.2494749999999999</v>
      </c>
    </row>
    <row r="54" spans="1:7" s="4" customFormat="1" x14ac:dyDescent="0.25">
      <c r="A54" s="4">
        <v>22</v>
      </c>
      <c r="B54" s="4" t="s">
        <v>47</v>
      </c>
      <c r="C54" s="5" t="s">
        <v>48</v>
      </c>
      <c r="D54" s="4">
        <v>859000</v>
      </c>
      <c r="E54" s="4" t="s">
        <v>3</v>
      </c>
      <c r="F54" s="4">
        <v>20</v>
      </c>
      <c r="G54" s="4">
        <v>1.0641</v>
      </c>
    </row>
    <row r="55" spans="1:7" s="4" customFormat="1" x14ac:dyDescent="0.25">
      <c r="A55" s="4">
        <v>23</v>
      </c>
      <c r="B55" s="4" t="s">
        <v>119</v>
      </c>
      <c r="C55" s="5" t="s">
        <v>9</v>
      </c>
      <c r="D55" s="4">
        <v>40941</v>
      </c>
      <c r="E55" s="4" t="s">
        <v>3</v>
      </c>
      <c r="F55" s="4">
        <v>5</v>
      </c>
      <c r="G55" s="4">
        <f>(0.1829+0.1743)/2</f>
        <v>0.17860000000000001</v>
      </c>
    </row>
    <row r="56" spans="1:7" s="4" customFormat="1" x14ac:dyDescent="0.25">
      <c r="A56" s="4">
        <v>23</v>
      </c>
      <c r="B56" s="4" t="s">
        <v>119</v>
      </c>
      <c r="C56" s="5" t="s">
        <v>9</v>
      </c>
      <c r="D56" s="4">
        <v>34628</v>
      </c>
      <c r="E56" s="4" t="s">
        <v>3</v>
      </c>
      <c r="F56" s="4">
        <v>10</v>
      </c>
      <c r="G56" s="4">
        <f>(0.2958+0.2041)/2</f>
        <v>0.24995000000000001</v>
      </c>
    </row>
    <row r="57" spans="1:7" s="4" customFormat="1" x14ac:dyDescent="0.25">
      <c r="A57" s="4">
        <v>23</v>
      </c>
      <c r="B57" s="4" t="s">
        <v>119</v>
      </c>
      <c r="C57" s="5" t="s">
        <v>9</v>
      </c>
      <c r="D57" s="4">
        <v>26749</v>
      </c>
      <c r="E57" s="4" t="s">
        <v>3</v>
      </c>
      <c r="F57" s="4">
        <v>15</v>
      </c>
      <c r="G57" s="4">
        <f>(0.3047+0.3014)/2</f>
        <v>0.30305000000000004</v>
      </c>
    </row>
    <row r="58" spans="1:7" s="4" customFormat="1" x14ac:dyDescent="0.25">
      <c r="A58" s="4">
        <v>23</v>
      </c>
      <c r="B58" s="4" t="s">
        <v>119</v>
      </c>
      <c r="C58" s="5" t="s">
        <v>9</v>
      </c>
      <c r="D58" s="4">
        <v>32557</v>
      </c>
      <c r="E58" s="4" t="s">
        <v>3</v>
      </c>
      <c r="F58" s="4">
        <v>18</v>
      </c>
      <c r="G58" s="4">
        <f>(0.4227+0.2772)/2</f>
        <v>0.34994999999999998</v>
      </c>
    </row>
    <row r="59" spans="1:7" s="4" customFormat="1" x14ac:dyDescent="0.25">
      <c r="A59" s="4">
        <v>23</v>
      </c>
      <c r="B59" s="4" t="s">
        <v>119</v>
      </c>
      <c r="C59" s="5" t="s">
        <v>123</v>
      </c>
      <c r="D59" s="4">
        <v>20539</v>
      </c>
      <c r="E59" s="4" t="s">
        <v>3</v>
      </c>
      <c r="F59" s="4">
        <v>5</v>
      </c>
      <c r="G59" s="4">
        <f>(0.5333+0.5074)/2</f>
        <v>0.52034999999999998</v>
      </c>
    </row>
    <row r="60" spans="1:7" s="4" customFormat="1" x14ac:dyDescent="0.25">
      <c r="A60" s="4">
        <v>23</v>
      </c>
      <c r="B60" s="4" t="s">
        <v>119</v>
      </c>
      <c r="C60" s="5" t="s">
        <v>123</v>
      </c>
      <c r="D60" s="4">
        <v>22068</v>
      </c>
      <c r="E60" s="4" t="s">
        <v>3</v>
      </c>
      <c r="F60" s="4">
        <v>10</v>
      </c>
      <c r="G60" s="4">
        <f>(0.4258+0.4405)/2</f>
        <v>0.43315000000000003</v>
      </c>
    </row>
    <row r="61" spans="1:7" s="4" customFormat="1" x14ac:dyDescent="0.25">
      <c r="A61" s="4">
        <v>23</v>
      </c>
      <c r="B61" s="4" t="s">
        <v>119</v>
      </c>
      <c r="C61" s="5" t="s">
        <v>123</v>
      </c>
      <c r="D61" s="4">
        <v>29455</v>
      </c>
      <c r="E61" s="4" t="s">
        <v>3</v>
      </c>
      <c r="F61" s="4">
        <v>15</v>
      </c>
      <c r="G61" s="4">
        <f>(0.37+0.3587)/2</f>
        <v>0.36435000000000001</v>
      </c>
    </row>
    <row r="62" spans="1:7" s="4" customFormat="1" x14ac:dyDescent="0.25">
      <c r="A62" s="4">
        <v>23</v>
      </c>
      <c r="B62" s="4" t="s">
        <v>119</v>
      </c>
      <c r="C62" s="5" t="s">
        <v>123</v>
      </c>
      <c r="D62" s="4">
        <v>17848</v>
      </c>
      <c r="E62" s="4" t="s">
        <v>3</v>
      </c>
      <c r="F62" s="4">
        <v>20</v>
      </c>
      <c r="G62" s="4">
        <v>0.80130000000000001</v>
      </c>
    </row>
    <row r="63" spans="1:7" s="4" customFormat="1" x14ac:dyDescent="0.25">
      <c r="A63" s="4">
        <v>24</v>
      </c>
      <c r="B63" s="4" t="s">
        <v>110</v>
      </c>
      <c r="C63" s="5" t="s">
        <v>50</v>
      </c>
      <c r="D63" s="4">
        <f>PI()/6*40.6*30.2^2</f>
        <v>19388.246908244902</v>
      </c>
      <c r="E63" s="4" t="s">
        <v>11</v>
      </c>
      <c r="F63" s="4">
        <v>10</v>
      </c>
      <c r="G63" s="4">
        <f>(0.693/42.6)*24</f>
        <v>0.39042253521126757</v>
      </c>
    </row>
    <row r="64" spans="1:7" s="4" customFormat="1" x14ac:dyDescent="0.25">
      <c r="A64" s="4">
        <v>24</v>
      </c>
      <c r="B64" s="4" t="s">
        <v>110</v>
      </c>
      <c r="C64" s="5" t="s">
        <v>50</v>
      </c>
      <c r="D64" s="4">
        <f>PI()/6*40.6*30.2^2</f>
        <v>19388.246908244902</v>
      </c>
      <c r="E64" s="4" t="s">
        <v>11</v>
      </c>
      <c r="F64" s="4">
        <v>20</v>
      </c>
      <c r="G64" s="4">
        <f>(0.693/19.5)*24</f>
        <v>0.85292307692307678</v>
      </c>
    </row>
    <row r="65" spans="1:7" s="4" customFormat="1" x14ac:dyDescent="0.25">
      <c r="A65" s="4">
        <v>24</v>
      </c>
      <c r="B65" s="4" t="s">
        <v>110</v>
      </c>
      <c r="C65" s="5" t="s">
        <v>50</v>
      </c>
      <c r="D65" s="4">
        <f>PI()/6*40.6*30.2^2</f>
        <v>19388.246908244902</v>
      </c>
      <c r="E65" s="4" t="s">
        <v>11</v>
      </c>
      <c r="F65" s="4">
        <v>30</v>
      </c>
      <c r="G65" s="4">
        <f>(0.693/7.9)*24</f>
        <v>2.1053164556962023</v>
      </c>
    </row>
    <row r="66" spans="1:7" s="4" customFormat="1" x14ac:dyDescent="0.25">
      <c r="A66" s="4">
        <v>25</v>
      </c>
      <c r="B66" s="4" t="s">
        <v>86</v>
      </c>
      <c r="C66" s="5" t="s">
        <v>87</v>
      </c>
      <c r="D66" s="4">
        <f>((2.2+3.31)/2)*10^4</f>
        <v>27550</v>
      </c>
      <c r="E66" s="4" t="s">
        <v>11</v>
      </c>
      <c r="F66" s="4">
        <v>15</v>
      </c>
      <c r="G66" s="4">
        <v>0.9</v>
      </c>
    </row>
    <row r="67" spans="1:7" s="4" customFormat="1" x14ac:dyDescent="0.25">
      <c r="A67" s="4">
        <v>25</v>
      </c>
      <c r="B67" s="4" t="s">
        <v>86</v>
      </c>
      <c r="C67" s="5" t="s">
        <v>88</v>
      </c>
      <c r="D67" s="4">
        <f>((1.78+3.01)/2)*10^4</f>
        <v>23950</v>
      </c>
      <c r="E67" s="4" t="s">
        <v>11</v>
      </c>
      <c r="F67" s="4">
        <v>15</v>
      </c>
      <c r="G67" s="4">
        <v>0.55000000000000004</v>
      </c>
    </row>
    <row r="68" spans="1:7" s="4" customFormat="1" x14ac:dyDescent="0.25">
      <c r="A68" s="4">
        <v>26</v>
      </c>
      <c r="B68" s="4" t="s">
        <v>82</v>
      </c>
      <c r="C68" s="5" t="s">
        <v>36</v>
      </c>
      <c r="D68" s="4">
        <v>33510</v>
      </c>
      <c r="E68" s="4" t="s">
        <v>11</v>
      </c>
      <c r="F68" s="4">
        <v>18</v>
      </c>
      <c r="G68" s="4">
        <v>1.8120000000000001</v>
      </c>
    </row>
    <row r="69" spans="1:7" s="4" customFormat="1" x14ac:dyDescent="0.25">
      <c r="A69" s="4">
        <v>27</v>
      </c>
      <c r="B69" s="4" t="s">
        <v>120</v>
      </c>
      <c r="C69" s="5" t="s">
        <v>36</v>
      </c>
      <c r="D69" s="4">
        <v>33510</v>
      </c>
      <c r="E69" s="4" t="s">
        <v>11</v>
      </c>
      <c r="F69" s="4">
        <v>18</v>
      </c>
      <c r="G69" s="4">
        <v>0.67949999999999999</v>
      </c>
    </row>
    <row r="70" spans="1:7" s="4" customFormat="1" x14ac:dyDescent="0.25">
      <c r="A70" s="4">
        <v>27</v>
      </c>
      <c r="B70" s="4" t="s">
        <v>120</v>
      </c>
      <c r="C70" s="5" t="s">
        <v>36</v>
      </c>
      <c r="D70" s="4">
        <v>33510</v>
      </c>
      <c r="E70" s="4" t="s">
        <v>11</v>
      </c>
      <c r="F70" s="4">
        <v>18</v>
      </c>
      <c r="G70" s="4">
        <f>(0.4979+0.5443)/2</f>
        <v>0.52110000000000001</v>
      </c>
    </row>
    <row r="71" spans="1:7" s="4" customFormat="1" x14ac:dyDescent="0.25">
      <c r="A71" s="4">
        <v>27</v>
      </c>
      <c r="B71" s="4" t="s">
        <v>120</v>
      </c>
      <c r="C71" s="5" t="s">
        <v>36</v>
      </c>
      <c r="D71" s="4">
        <v>33510</v>
      </c>
      <c r="E71" s="4" t="s">
        <v>11</v>
      </c>
      <c r="F71" s="4">
        <v>18</v>
      </c>
      <c r="G71" s="4">
        <v>0.19589999999999999</v>
      </c>
    </row>
    <row r="72" spans="1:7" s="4" customFormat="1" x14ac:dyDescent="0.25">
      <c r="A72" s="4">
        <v>28</v>
      </c>
      <c r="B72" s="4" t="s">
        <v>99</v>
      </c>
      <c r="C72" s="5" t="s">
        <v>36</v>
      </c>
      <c r="D72" s="4">
        <v>33510</v>
      </c>
      <c r="E72" s="4" t="s">
        <v>11</v>
      </c>
      <c r="F72" s="4">
        <v>19</v>
      </c>
      <c r="G72" s="4">
        <f>(1.1205+1.0112+0.7414)/3</f>
        <v>0.95770000000000011</v>
      </c>
    </row>
    <row r="73" spans="1:7" s="4" customFormat="1" x14ac:dyDescent="0.25">
      <c r="A73" s="4">
        <v>28</v>
      </c>
      <c r="B73" s="4" t="s">
        <v>99</v>
      </c>
      <c r="C73" s="5" t="s">
        <v>36</v>
      </c>
      <c r="D73" s="4">
        <v>33510</v>
      </c>
      <c r="E73" s="4" t="s">
        <v>11</v>
      </c>
      <c r="F73" s="4">
        <v>19</v>
      </c>
      <c r="G73" s="4">
        <f>(1.0796+1.0476+0.9832)/3</f>
        <v>1.0368000000000002</v>
      </c>
    </row>
    <row r="74" spans="1:7" s="4" customFormat="1" x14ac:dyDescent="0.25">
      <c r="A74" s="4">
        <v>28</v>
      </c>
      <c r="B74" s="4" t="s">
        <v>99</v>
      </c>
      <c r="C74" s="5" t="s">
        <v>36</v>
      </c>
      <c r="D74" s="4">
        <v>33510</v>
      </c>
      <c r="E74" s="4" t="s">
        <v>11</v>
      </c>
      <c r="F74" s="4">
        <v>19</v>
      </c>
      <c r="G74" s="4">
        <f>(1.476+1.41+1.23)/3</f>
        <v>1.3719999999999999</v>
      </c>
    </row>
    <row r="75" spans="1:7" s="4" customFormat="1" x14ac:dyDescent="0.25">
      <c r="A75" s="4">
        <v>29</v>
      </c>
      <c r="B75" s="4" t="s">
        <v>26</v>
      </c>
      <c r="C75" s="5" t="s">
        <v>27</v>
      </c>
      <c r="D75" s="4">
        <f>18.5554*10^4</f>
        <v>185554</v>
      </c>
      <c r="E75" s="4" t="s">
        <v>11</v>
      </c>
      <c r="F75" s="4">
        <v>8.5</v>
      </c>
      <c r="G75" s="10">
        <v>0.29296</v>
      </c>
    </row>
    <row r="76" spans="1:7" s="4" customFormat="1" x14ac:dyDescent="0.25">
      <c r="A76" s="4">
        <v>29</v>
      </c>
      <c r="B76" s="4" t="s">
        <v>26</v>
      </c>
      <c r="C76" s="5" t="s">
        <v>27</v>
      </c>
      <c r="D76" s="4">
        <f>22.4453*10^4</f>
        <v>224453</v>
      </c>
      <c r="E76" s="4" t="s">
        <v>11</v>
      </c>
      <c r="F76" s="4">
        <v>10</v>
      </c>
      <c r="G76" s="10">
        <v>0.39753999999999995</v>
      </c>
    </row>
    <row r="77" spans="1:7" s="4" customFormat="1" x14ac:dyDescent="0.25">
      <c r="A77" s="4">
        <v>29</v>
      </c>
      <c r="B77" s="4" t="s">
        <v>26</v>
      </c>
      <c r="C77" s="5" t="s">
        <v>27</v>
      </c>
      <c r="D77" s="4">
        <f>21.4332*10^4</f>
        <v>214332</v>
      </c>
      <c r="E77" s="4" t="s">
        <v>11</v>
      </c>
      <c r="F77" s="4">
        <v>11.5</v>
      </c>
      <c r="G77" s="10">
        <v>0.62268000000000001</v>
      </c>
    </row>
    <row r="78" spans="1:7" s="4" customFormat="1" x14ac:dyDescent="0.25">
      <c r="A78" s="4">
        <v>29</v>
      </c>
      <c r="B78" s="4" t="s">
        <v>26</v>
      </c>
      <c r="C78" s="5" t="s">
        <v>27</v>
      </c>
      <c r="D78" s="4">
        <f>17.3296*10^4</f>
        <v>173296</v>
      </c>
      <c r="E78" s="4" t="s">
        <v>11</v>
      </c>
      <c r="F78" s="4">
        <v>13.5</v>
      </c>
      <c r="G78" s="10">
        <v>0.54298000000000002</v>
      </c>
    </row>
    <row r="79" spans="1:7" s="4" customFormat="1" x14ac:dyDescent="0.25">
      <c r="A79" s="4">
        <v>29</v>
      </c>
      <c r="B79" s="4" t="s">
        <v>26</v>
      </c>
      <c r="C79" s="5" t="s">
        <v>27</v>
      </c>
      <c r="D79" s="4">
        <f>16.4501*10^4</f>
        <v>164501</v>
      </c>
      <c r="E79" s="4" t="s">
        <v>11</v>
      </c>
      <c r="F79" s="4">
        <v>15</v>
      </c>
      <c r="G79" s="10">
        <v>0.78226000000000007</v>
      </c>
    </row>
    <row r="80" spans="1:7" s="4" customFormat="1" x14ac:dyDescent="0.25">
      <c r="A80" s="4">
        <v>29</v>
      </c>
      <c r="B80" s="4" t="s">
        <v>26</v>
      </c>
      <c r="C80" s="5" t="s">
        <v>27</v>
      </c>
      <c r="D80" s="4">
        <f>13.0582*10^4</f>
        <v>130582</v>
      </c>
      <c r="E80" s="4" t="s">
        <v>11</v>
      </c>
      <c r="F80" s="4">
        <v>19</v>
      </c>
      <c r="G80" s="10">
        <v>0.83189999999999997</v>
      </c>
    </row>
    <row r="81" spans="1:7" s="4" customFormat="1" x14ac:dyDescent="0.25">
      <c r="A81" s="4">
        <v>29</v>
      </c>
      <c r="B81" s="4" t="s">
        <v>26</v>
      </c>
      <c r="C81" s="5" t="s">
        <v>27</v>
      </c>
      <c r="D81" s="4">
        <f>11.9609*10^4</f>
        <v>119609</v>
      </c>
      <c r="E81" s="4" t="s">
        <v>11</v>
      </c>
      <c r="F81" s="4">
        <v>22</v>
      </c>
      <c r="G81" s="10">
        <v>0.1100353</v>
      </c>
    </row>
    <row r="82" spans="1:7" s="4" customFormat="1" x14ac:dyDescent="0.25">
      <c r="A82" s="4">
        <v>30</v>
      </c>
      <c r="B82" s="4" t="s">
        <v>16</v>
      </c>
      <c r="C82" s="5" t="s">
        <v>102</v>
      </c>
      <c r="D82" s="4">
        <v>110000</v>
      </c>
      <c r="E82" s="4" t="s">
        <v>11</v>
      </c>
      <c r="F82" s="4">
        <v>16</v>
      </c>
      <c r="G82" s="4">
        <f>(1.2101+1.3936)/2</f>
        <v>1.30185</v>
      </c>
    </row>
    <row r="83" spans="1:7" s="4" customFormat="1" x14ac:dyDescent="0.25">
      <c r="A83" s="4">
        <v>30</v>
      </c>
      <c r="B83" s="4" t="s">
        <v>16</v>
      </c>
      <c r="C83" s="5" t="s">
        <v>103</v>
      </c>
      <c r="D83" s="4">
        <v>19635</v>
      </c>
      <c r="E83" s="4" t="s">
        <v>11</v>
      </c>
      <c r="F83" s="4">
        <v>16</v>
      </c>
      <c r="G83" s="4">
        <f>(0.5609+0.64+0.705)/3</f>
        <v>0.63529999999999998</v>
      </c>
    </row>
    <row r="84" spans="1:7" s="4" customFormat="1" x14ac:dyDescent="0.25">
      <c r="A84" s="4">
        <v>30</v>
      </c>
      <c r="B84" s="4" t="s">
        <v>16</v>
      </c>
      <c r="C84" s="5" t="s">
        <v>17</v>
      </c>
      <c r="D84" s="4">
        <v>64140</v>
      </c>
      <c r="E84" s="4" t="s">
        <v>11</v>
      </c>
      <c r="F84" s="4">
        <v>16</v>
      </c>
      <c r="G84" s="4">
        <f>(0.5884+0.636+0.3115)/3</f>
        <v>0.51196666666666679</v>
      </c>
    </row>
    <row r="85" spans="1:7" s="4" customFormat="1" x14ac:dyDescent="0.25">
      <c r="A85" s="4">
        <v>30</v>
      </c>
      <c r="B85" s="4" t="s">
        <v>16</v>
      </c>
      <c r="C85" s="5" t="s">
        <v>104</v>
      </c>
      <c r="D85" s="4">
        <v>28575</v>
      </c>
      <c r="E85" s="4" t="s">
        <v>11</v>
      </c>
      <c r="F85" s="4">
        <v>16</v>
      </c>
      <c r="G85" s="4">
        <f>(0.4563+0.5635+0.5886)/3</f>
        <v>0.53613333333333335</v>
      </c>
    </row>
    <row r="86" spans="1:7" s="4" customFormat="1" x14ac:dyDescent="0.25">
      <c r="A86" s="4">
        <v>30</v>
      </c>
      <c r="B86" s="4" t="s">
        <v>16</v>
      </c>
      <c r="C86" s="5" t="s">
        <v>104</v>
      </c>
      <c r="D86" s="4">
        <v>28575</v>
      </c>
      <c r="E86" s="4" t="s">
        <v>11</v>
      </c>
      <c r="F86" s="4">
        <v>16</v>
      </c>
      <c r="G86" s="4">
        <f>(0.506+0.3851+0.3259)/3</f>
        <v>0.40566666666666668</v>
      </c>
    </row>
    <row r="87" spans="1:7" s="4" customFormat="1" x14ac:dyDescent="0.25">
      <c r="A87" s="4">
        <v>31</v>
      </c>
      <c r="B87" s="4" t="s">
        <v>81</v>
      </c>
      <c r="C87" s="5" t="s">
        <v>52</v>
      </c>
      <c r="D87" s="4">
        <v>92000</v>
      </c>
      <c r="E87" s="4" t="s">
        <v>11</v>
      </c>
      <c r="F87" s="4">
        <v>16</v>
      </c>
      <c r="G87" s="4">
        <f>(0.5726+0.8249+0.8691)/3</f>
        <v>0.75553333333333328</v>
      </c>
    </row>
    <row r="88" spans="1:7" s="4" customFormat="1" x14ac:dyDescent="0.25">
      <c r="A88" s="4">
        <v>32</v>
      </c>
      <c r="B88" s="4" t="s">
        <v>73</v>
      </c>
      <c r="C88" s="5" t="s">
        <v>6</v>
      </c>
      <c r="D88" s="4">
        <v>2750</v>
      </c>
      <c r="E88" s="4" t="s">
        <v>3</v>
      </c>
      <c r="F88" s="4">
        <v>5.5</v>
      </c>
      <c r="G88" s="4">
        <v>0.46</v>
      </c>
    </row>
    <row r="89" spans="1:7" s="4" customFormat="1" x14ac:dyDescent="0.25">
      <c r="A89" s="4">
        <v>32</v>
      </c>
      <c r="B89" s="4" t="s">
        <v>73</v>
      </c>
      <c r="C89" s="5" t="s">
        <v>6</v>
      </c>
      <c r="D89" s="4">
        <v>2750</v>
      </c>
      <c r="E89" s="4" t="s">
        <v>3</v>
      </c>
      <c r="F89" s="4">
        <v>9</v>
      </c>
      <c r="G89" s="4">
        <v>0.52</v>
      </c>
    </row>
    <row r="90" spans="1:7" s="4" customFormat="1" x14ac:dyDescent="0.25">
      <c r="A90" s="4">
        <v>32</v>
      </c>
      <c r="B90" s="4" t="s">
        <v>73</v>
      </c>
      <c r="C90" s="5" t="s">
        <v>6</v>
      </c>
      <c r="D90" s="4">
        <v>2750</v>
      </c>
      <c r="E90" s="4" t="s">
        <v>3</v>
      </c>
      <c r="F90" s="4">
        <v>12</v>
      </c>
      <c r="G90" s="4">
        <v>0.66</v>
      </c>
    </row>
    <row r="91" spans="1:7" s="4" customFormat="1" x14ac:dyDescent="0.25">
      <c r="A91" s="4">
        <v>32</v>
      </c>
      <c r="B91" s="4" t="s">
        <v>73</v>
      </c>
      <c r="C91" s="5" t="s">
        <v>6</v>
      </c>
      <c r="D91" s="4">
        <v>2750</v>
      </c>
      <c r="E91" s="4" t="s">
        <v>3</v>
      </c>
      <c r="F91" s="4">
        <v>15.5</v>
      </c>
      <c r="G91" s="4">
        <v>0.75</v>
      </c>
    </row>
    <row r="92" spans="1:7" s="4" customFormat="1" x14ac:dyDescent="0.25">
      <c r="A92" s="4">
        <v>32</v>
      </c>
      <c r="B92" s="4" t="s">
        <v>73</v>
      </c>
      <c r="C92" s="5" t="s">
        <v>6</v>
      </c>
      <c r="D92" s="4">
        <v>2750</v>
      </c>
      <c r="E92" s="4" t="s">
        <v>3</v>
      </c>
      <c r="F92" s="4">
        <v>18.5</v>
      </c>
      <c r="G92" s="4">
        <v>1.33</v>
      </c>
    </row>
    <row r="93" spans="1:7" s="4" customFormat="1" x14ac:dyDescent="0.25">
      <c r="A93" s="4">
        <v>32</v>
      </c>
      <c r="B93" s="4" t="s">
        <v>73</v>
      </c>
      <c r="C93" s="5" t="s">
        <v>6</v>
      </c>
      <c r="D93" s="4">
        <v>2750</v>
      </c>
      <c r="E93" s="4" t="s">
        <v>3</v>
      </c>
      <c r="F93" s="4">
        <v>21.5</v>
      </c>
      <c r="G93" s="4">
        <v>1.72</v>
      </c>
    </row>
    <row r="94" spans="1:7" s="4" customFormat="1" x14ac:dyDescent="0.25">
      <c r="A94" s="4">
        <v>32</v>
      </c>
      <c r="B94" s="4" t="s">
        <v>73</v>
      </c>
      <c r="C94" s="5" t="s">
        <v>74</v>
      </c>
      <c r="D94" s="4">
        <v>36200</v>
      </c>
      <c r="E94" s="4" t="s">
        <v>3</v>
      </c>
      <c r="F94" s="4">
        <v>5.5</v>
      </c>
      <c r="G94" s="4">
        <v>0.03</v>
      </c>
    </row>
    <row r="95" spans="1:7" s="4" customFormat="1" x14ac:dyDescent="0.25">
      <c r="A95" s="4">
        <v>32</v>
      </c>
      <c r="B95" s="4" t="s">
        <v>73</v>
      </c>
      <c r="C95" s="5" t="s">
        <v>74</v>
      </c>
      <c r="D95" s="4">
        <v>36200</v>
      </c>
      <c r="E95" s="4" t="s">
        <v>3</v>
      </c>
      <c r="F95" s="4">
        <v>9</v>
      </c>
      <c r="G95" s="4">
        <v>0.21</v>
      </c>
    </row>
    <row r="96" spans="1:7" s="4" customFormat="1" x14ac:dyDescent="0.25">
      <c r="A96" s="4">
        <v>32</v>
      </c>
      <c r="B96" s="4" t="s">
        <v>73</v>
      </c>
      <c r="C96" s="5" t="s">
        <v>74</v>
      </c>
      <c r="D96" s="4">
        <v>36200</v>
      </c>
      <c r="E96" s="4" t="s">
        <v>3</v>
      </c>
      <c r="F96" s="4">
        <v>12</v>
      </c>
      <c r="G96" s="4">
        <v>0.42</v>
      </c>
    </row>
    <row r="97" spans="1:7" s="4" customFormat="1" ht="15" customHeight="1" x14ac:dyDescent="0.25">
      <c r="A97" s="4">
        <v>32</v>
      </c>
      <c r="B97" s="4" t="s">
        <v>73</v>
      </c>
      <c r="C97" s="5" t="s">
        <v>74</v>
      </c>
      <c r="D97" s="4">
        <v>36200</v>
      </c>
      <c r="E97" s="4" t="s">
        <v>3</v>
      </c>
      <c r="F97" s="4">
        <v>15.5</v>
      </c>
      <c r="G97" s="4">
        <v>0.56999999999999995</v>
      </c>
    </row>
    <row r="98" spans="1:7" s="4" customFormat="1" x14ac:dyDescent="0.25">
      <c r="A98" s="4">
        <v>32</v>
      </c>
      <c r="B98" s="4" t="s">
        <v>73</v>
      </c>
      <c r="C98" s="5" t="s">
        <v>74</v>
      </c>
      <c r="D98" s="4">
        <v>36200</v>
      </c>
      <c r="E98" s="4" t="s">
        <v>3</v>
      </c>
      <c r="F98" s="4">
        <v>18.5</v>
      </c>
      <c r="G98" s="4">
        <v>0.76</v>
      </c>
    </row>
    <row r="99" spans="1:7" s="4" customFormat="1" x14ac:dyDescent="0.25">
      <c r="A99" s="4">
        <v>32</v>
      </c>
      <c r="B99" s="4" t="s">
        <v>73</v>
      </c>
      <c r="C99" s="5" t="s">
        <v>74</v>
      </c>
      <c r="D99" s="4">
        <v>36200</v>
      </c>
      <c r="E99" s="4" t="s">
        <v>3</v>
      </c>
      <c r="F99" s="4">
        <v>21.5</v>
      </c>
      <c r="G99" s="4">
        <v>0.9</v>
      </c>
    </row>
    <row r="100" spans="1:7" s="4" customFormat="1" x14ac:dyDescent="0.25">
      <c r="A100" s="4">
        <v>32</v>
      </c>
      <c r="B100" s="4" t="s">
        <v>73</v>
      </c>
      <c r="C100" s="5" t="s">
        <v>75</v>
      </c>
      <c r="D100" s="4">
        <v>71800</v>
      </c>
      <c r="E100" s="4" t="s">
        <v>3</v>
      </c>
      <c r="F100" s="4">
        <v>5.5</v>
      </c>
      <c r="G100" s="4">
        <v>0.43</v>
      </c>
    </row>
    <row r="101" spans="1:7" s="4" customFormat="1" x14ac:dyDescent="0.25">
      <c r="A101" s="4">
        <v>32</v>
      </c>
      <c r="B101" s="4" t="s">
        <v>73</v>
      </c>
      <c r="C101" s="5" t="s">
        <v>75</v>
      </c>
      <c r="D101" s="4">
        <v>71800</v>
      </c>
      <c r="E101" s="4" t="s">
        <v>3</v>
      </c>
      <c r="F101" s="4">
        <v>9</v>
      </c>
      <c r="G101" s="4">
        <v>0.6</v>
      </c>
    </row>
    <row r="102" spans="1:7" s="4" customFormat="1" x14ac:dyDescent="0.25">
      <c r="A102" s="4">
        <v>32</v>
      </c>
      <c r="B102" s="4" t="s">
        <v>73</v>
      </c>
      <c r="C102" s="5" t="s">
        <v>75</v>
      </c>
      <c r="D102" s="4">
        <v>71800</v>
      </c>
      <c r="E102" s="4" t="s">
        <v>3</v>
      </c>
      <c r="F102" s="4">
        <v>12</v>
      </c>
      <c r="G102" s="4">
        <v>0.7</v>
      </c>
    </row>
    <row r="103" spans="1:7" s="4" customFormat="1" x14ac:dyDescent="0.25">
      <c r="A103" s="4">
        <v>32</v>
      </c>
      <c r="B103" s="4" t="s">
        <v>73</v>
      </c>
      <c r="C103" s="5" t="s">
        <v>75</v>
      </c>
      <c r="D103" s="4">
        <v>71800</v>
      </c>
      <c r="E103" s="4" t="s">
        <v>3</v>
      </c>
      <c r="F103" s="4">
        <v>15.5</v>
      </c>
      <c r="G103" s="4">
        <v>0.99</v>
      </c>
    </row>
    <row r="104" spans="1:7" s="4" customFormat="1" x14ac:dyDescent="0.25">
      <c r="A104" s="4">
        <v>32</v>
      </c>
      <c r="B104" s="4" t="s">
        <v>73</v>
      </c>
      <c r="C104" s="5" t="s">
        <v>75</v>
      </c>
      <c r="D104" s="4">
        <v>71800</v>
      </c>
      <c r="E104" s="4" t="s">
        <v>3</v>
      </c>
      <c r="F104" s="4">
        <v>18.5</v>
      </c>
      <c r="G104" s="4">
        <v>1.38</v>
      </c>
    </row>
    <row r="105" spans="1:7" s="4" customFormat="1" x14ac:dyDescent="0.25">
      <c r="A105" s="4">
        <v>32</v>
      </c>
      <c r="B105" s="4" t="s">
        <v>73</v>
      </c>
      <c r="C105" s="5" t="s">
        <v>75</v>
      </c>
      <c r="D105" s="4">
        <v>71800</v>
      </c>
      <c r="E105" s="4" t="s">
        <v>3</v>
      </c>
      <c r="F105" s="4">
        <v>21.5</v>
      </c>
      <c r="G105" s="4">
        <v>1.42</v>
      </c>
    </row>
    <row r="106" spans="1:7" s="4" customFormat="1" x14ac:dyDescent="0.25">
      <c r="A106" s="4">
        <v>33</v>
      </c>
      <c r="B106" s="4" t="s">
        <v>8</v>
      </c>
      <c r="C106" s="5" t="s">
        <v>5</v>
      </c>
      <c r="D106" s="4">
        <v>1800</v>
      </c>
      <c r="E106" s="4" t="s">
        <v>3</v>
      </c>
      <c r="F106" s="4">
        <v>15</v>
      </c>
      <c r="G106" s="4">
        <f>(1.5381+1.7612+1.8115)/3</f>
        <v>1.7036</v>
      </c>
    </row>
    <row r="107" spans="1:7" s="4" customFormat="1" x14ac:dyDescent="0.25">
      <c r="A107" s="4">
        <v>33</v>
      </c>
      <c r="B107" s="4" t="s">
        <v>8</v>
      </c>
      <c r="C107" s="7" t="s">
        <v>75</v>
      </c>
      <c r="D107" s="4">
        <v>113000</v>
      </c>
      <c r="E107" s="4" t="s">
        <v>3</v>
      </c>
      <c r="F107" s="4">
        <v>15</v>
      </c>
      <c r="G107" s="4">
        <f>(0.8685+0.7076+0.7075+0.9162+1.051)/5</f>
        <v>0.85016000000000003</v>
      </c>
    </row>
    <row r="108" spans="1:7" s="4" customFormat="1" x14ac:dyDescent="0.25">
      <c r="A108" s="4">
        <v>33</v>
      </c>
      <c r="B108" s="4" t="s">
        <v>8</v>
      </c>
      <c r="C108" s="5" t="s">
        <v>9</v>
      </c>
      <c r="D108" s="4">
        <v>34000</v>
      </c>
      <c r="E108" s="4" t="s">
        <v>3</v>
      </c>
      <c r="F108" s="4">
        <v>15</v>
      </c>
      <c r="G108" s="4">
        <f>(0.2973+0.2049+0.3991)/3</f>
        <v>0.30043333333333333</v>
      </c>
    </row>
    <row r="109" spans="1:7" s="4" customFormat="1" x14ac:dyDescent="0.25">
      <c r="A109" s="4">
        <v>34</v>
      </c>
      <c r="B109" s="4" t="s">
        <v>84</v>
      </c>
      <c r="C109" s="5" t="s">
        <v>9</v>
      </c>
      <c r="D109" s="4">
        <v>24000</v>
      </c>
      <c r="E109" s="4" t="s">
        <v>3</v>
      </c>
      <c r="F109" s="4">
        <v>9</v>
      </c>
      <c r="G109" s="4">
        <v>0.2</v>
      </c>
    </row>
    <row r="110" spans="1:7" s="4" customFormat="1" x14ac:dyDescent="0.25">
      <c r="A110" s="4">
        <v>34</v>
      </c>
      <c r="B110" s="4" t="s">
        <v>84</v>
      </c>
      <c r="C110" s="5" t="s">
        <v>9</v>
      </c>
      <c r="D110" s="4">
        <v>24000</v>
      </c>
      <c r="E110" s="4" t="s">
        <v>3</v>
      </c>
      <c r="F110" s="4">
        <v>18</v>
      </c>
      <c r="G110" s="4">
        <v>0.28999999999999998</v>
      </c>
    </row>
    <row r="111" spans="1:7" s="4" customFormat="1" x14ac:dyDescent="0.25">
      <c r="A111" s="4">
        <v>35</v>
      </c>
      <c r="B111" s="4" t="s">
        <v>72</v>
      </c>
      <c r="C111" s="5" t="s">
        <v>5</v>
      </c>
      <c r="D111" s="4">
        <v>1201</v>
      </c>
      <c r="E111" s="4" t="s">
        <v>3</v>
      </c>
      <c r="F111" s="4">
        <v>5.5</v>
      </c>
      <c r="G111" s="9">
        <f>(0.44+0.52+0.43)/3</f>
        <v>0.46333333333333332</v>
      </c>
    </row>
    <row r="112" spans="1:7" s="4" customFormat="1" x14ac:dyDescent="0.25">
      <c r="A112" s="4">
        <v>35</v>
      </c>
      <c r="B112" s="4" t="s">
        <v>72</v>
      </c>
      <c r="C112" s="5" t="s">
        <v>5</v>
      </c>
      <c r="D112" s="4">
        <v>1269</v>
      </c>
      <c r="E112" s="4" t="s">
        <v>3</v>
      </c>
      <c r="F112" s="4">
        <v>9</v>
      </c>
      <c r="G112" s="9">
        <f>(0.76+0.85+0.88)/3</f>
        <v>0.83</v>
      </c>
    </row>
    <row r="113" spans="1:7" s="4" customFormat="1" x14ac:dyDescent="0.25">
      <c r="A113" s="4">
        <v>35</v>
      </c>
      <c r="B113" s="4" t="s">
        <v>72</v>
      </c>
      <c r="C113" s="5" t="s">
        <v>5</v>
      </c>
      <c r="D113" s="4">
        <v>1419</v>
      </c>
      <c r="E113" s="4" t="s">
        <v>3</v>
      </c>
      <c r="F113" s="4">
        <v>12</v>
      </c>
      <c r="G113" s="9">
        <f>(1.01+0.96+0.91)/3</f>
        <v>0.96</v>
      </c>
    </row>
    <row r="114" spans="1:7" s="4" customFormat="1" x14ac:dyDescent="0.25">
      <c r="A114" s="4">
        <v>35</v>
      </c>
      <c r="B114" s="4" t="s">
        <v>72</v>
      </c>
      <c r="C114" s="5" t="s">
        <v>5</v>
      </c>
      <c r="D114" s="4">
        <v>1236</v>
      </c>
      <c r="E114" s="4" t="s">
        <v>3</v>
      </c>
      <c r="F114" s="4">
        <v>15.5</v>
      </c>
      <c r="G114" s="9">
        <f>(1.26+1.19+1.32)/3</f>
        <v>1.2566666666666668</v>
      </c>
    </row>
    <row r="115" spans="1:7" s="4" customFormat="1" x14ac:dyDescent="0.25">
      <c r="A115" s="4">
        <v>35</v>
      </c>
      <c r="B115" s="4" t="s">
        <v>72</v>
      </c>
      <c r="C115" s="5" t="s">
        <v>5</v>
      </c>
      <c r="D115" s="4">
        <v>1437</v>
      </c>
      <c r="E115" s="4" t="s">
        <v>3</v>
      </c>
      <c r="F115" s="4">
        <v>18.5</v>
      </c>
      <c r="G115" s="9">
        <f>(1.55+1.56+1.41)/3</f>
        <v>1.5066666666666668</v>
      </c>
    </row>
    <row r="116" spans="1:7" s="4" customFormat="1" x14ac:dyDescent="0.25">
      <c r="A116" s="4">
        <v>36</v>
      </c>
      <c r="B116" s="4" t="s">
        <v>69</v>
      </c>
      <c r="C116" s="5" t="s">
        <v>109</v>
      </c>
      <c r="D116" s="4">
        <v>24017</v>
      </c>
      <c r="E116" s="4" t="s">
        <v>11</v>
      </c>
      <c r="F116" s="4">
        <v>15</v>
      </c>
      <c r="G116" s="9">
        <v>0.50129999999999997</v>
      </c>
    </row>
    <row r="117" spans="1:7" s="4" customFormat="1" x14ac:dyDescent="0.25">
      <c r="A117" s="4">
        <v>36</v>
      </c>
      <c r="B117" s="4" t="s">
        <v>69</v>
      </c>
      <c r="C117" s="5" t="s">
        <v>109</v>
      </c>
      <c r="D117" s="4">
        <v>24017</v>
      </c>
      <c r="E117" s="4" t="s">
        <v>11</v>
      </c>
      <c r="F117" s="4">
        <v>15</v>
      </c>
      <c r="G117" s="9">
        <v>1.3115000000000001</v>
      </c>
    </row>
    <row r="118" spans="1:7" s="4" customFormat="1" x14ac:dyDescent="0.25">
      <c r="A118" s="4">
        <v>36</v>
      </c>
      <c r="B118" s="4" t="s">
        <v>69</v>
      </c>
      <c r="C118" s="5" t="s">
        <v>109</v>
      </c>
      <c r="D118" s="4">
        <v>24017</v>
      </c>
      <c r="E118" s="4" t="s">
        <v>11</v>
      </c>
      <c r="F118" s="4">
        <v>20</v>
      </c>
      <c r="G118" s="9">
        <v>2.6387</v>
      </c>
    </row>
    <row r="119" spans="1:7" s="4" customFormat="1" x14ac:dyDescent="0.25">
      <c r="A119" s="4">
        <v>37</v>
      </c>
      <c r="B119" s="4" t="s">
        <v>90</v>
      </c>
      <c r="C119" s="5" t="s">
        <v>35</v>
      </c>
      <c r="D119" s="4">
        <v>5996</v>
      </c>
      <c r="E119" s="4" t="s">
        <v>11</v>
      </c>
      <c r="F119" s="12">
        <v>15</v>
      </c>
      <c r="G119" s="4">
        <v>0.4</v>
      </c>
    </row>
    <row r="120" spans="1:7" s="5" customFormat="1" x14ac:dyDescent="0.25">
      <c r="A120" s="5">
        <v>38</v>
      </c>
      <c r="B120" s="4" t="s">
        <v>45</v>
      </c>
      <c r="C120" s="5" t="s">
        <v>93</v>
      </c>
      <c r="D120" s="4">
        <v>11400</v>
      </c>
      <c r="E120" s="4" t="s">
        <v>11</v>
      </c>
      <c r="F120" s="4">
        <v>20</v>
      </c>
      <c r="G120" s="4">
        <v>0.63500000000000001</v>
      </c>
    </row>
    <row r="121" spans="1:7" s="4" customFormat="1" x14ac:dyDescent="0.25">
      <c r="A121" s="5">
        <v>39</v>
      </c>
      <c r="B121" s="4" t="s">
        <v>49</v>
      </c>
      <c r="C121" s="5" t="s">
        <v>50</v>
      </c>
      <c r="D121" s="4">
        <v>17157.284680000001</v>
      </c>
      <c r="E121" s="4" t="s">
        <v>11</v>
      </c>
      <c r="F121" s="4">
        <v>15</v>
      </c>
      <c r="G121" s="4">
        <f>((0.115+0.047+0.034+0.077)/4)*24</f>
        <v>1.6380000000000001</v>
      </c>
    </row>
    <row r="122" spans="1:7" s="4" customFormat="1" x14ac:dyDescent="0.25">
      <c r="A122" s="5">
        <v>40</v>
      </c>
      <c r="B122" s="4" t="s">
        <v>55</v>
      </c>
      <c r="C122" s="5" t="s">
        <v>42</v>
      </c>
      <c r="D122" s="4">
        <v>215834.19987000001</v>
      </c>
      <c r="E122" s="4" t="s">
        <v>11</v>
      </c>
      <c r="F122" s="4">
        <v>20</v>
      </c>
      <c r="G122" s="4">
        <f>(0.6135+0.585+0.4853)/3</f>
        <v>0.56126666666666669</v>
      </c>
    </row>
    <row r="123" spans="1:7" s="4" customFormat="1" x14ac:dyDescent="0.25">
      <c r="A123" s="5">
        <v>40</v>
      </c>
      <c r="B123" s="4" t="s">
        <v>55</v>
      </c>
      <c r="C123" s="5" t="s">
        <v>83</v>
      </c>
      <c r="D123" s="4">
        <v>12900</v>
      </c>
      <c r="E123" s="4" t="s">
        <v>11</v>
      </c>
      <c r="F123" s="4">
        <v>20</v>
      </c>
      <c r="G123" s="4">
        <f>(0.0625+0.386+0.4818)/3</f>
        <v>0.31009999999999999</v>
      </c>
    </row>
    <row r="124" spans="1:7" s="4" customFormat="1" x14ac:dyDescent="0.25">
      <c r="A124" s="5">
        <v>41</v>
      </c>
      <c r="B124" s="4" t="s">
        <v>122</v>
      </c>
      <c r="C124" s="5" t="s">
        <v>36</v>
      </c>
      <c r="D124" s="4">
        <v>33510</v>
      </c>
      <c r="E124" s="4" t="s">
        <v>11</v>
      </c>
      <c r="F124" s="4">
        <v>19</v>
      </c>
      <c r="G124" s="4">
        <f>(0.9958+0.9603+0.9693)/3</f>
        <v>0.97513333333333341</v>
      </c>
    </row>
    <row r="125" spans="1:7" s="4" customFormat="1" x14ac:dyDescent="0.25">
      <c r="A125" s="5">
        <v>41</v>
      </c>
      <c r="B125" s="4" t="s">
        <v>122</v>
      </c>
      <c r="C125" s="5" t="s">
        <v>36</v>
      </c>
      <c r="D125" s="4">
        <v>33510</v>
      </c>
      <c r="E125" s="4" t="s">
        <v>11</v>
      </c>
      <c r="F125" s="4">
        <v>19</v>
      </c>
      <c r="G125" s="4">
        <f>(0.7622+0.6415+0.8523)/3</f>
        <v>0.75199999999999989</v>
      </c>
    </row>
    <row r="126" spans="1:7" s="4" customFormat="1" x14ac:dyDescent="0.25">
      <c r="A126" s="5">
        <v>42</v>
      </c>
      <c r="B126" s="4" t="s">
        <v>106</v>
      </c>
      <c r="C126" s="5" t="s">
        <v>36</v>
      </c>
      <c r="D126" s="4">
        <v>33523</v>
      </c>
      <c r="E126" s="4" t="s">
        <v>11</v>
      </c>
      <c r="F126" s="4">
        <v>19</v>
      </c>
      <c r="G126" s="4">
        <f>(1.5175+1.5005+1.4452)/3</f>
        <v>1.4877333333333331</v>
      </c>
    </row>
    <row r="127" spans="1:7" s="4" customFormat="1" x14ac:dyDescent="0.25">
      <c r="A127" s="5">
        <v>42</v>
      </c>
      <c r="B127" s="4" t="s">
        <v>106</v>
      </c>
      <c r="C127" s="5" t="s">
        <v>97</v>
      </c>
      <c r="D127" s="4">
        <v>63141</v>
      </c>
      <c r="E127" s="4" t="s">
        <v>11</v>
      </c>
      <c r="F127" s="4">
        <v>19</v>
      </c>
      <c r="G127" s="4">
        <f>(1.2642+1.2786+ 1.3147)/3</f>
        <v>1.2858333333333334</v>
      </c>
    </row>
    <row r="128" spans="1:7" s="4" customFormat="1" x14ac:dyDescent="0.25">
      <c r="A128" s="5">
        <v>43</v>
      </c>
      <c r="B128" s="4" t="s">
        <v>43</v>
      </c>
      <c r="C128" s="5" t="s">
        <v>35</v>
      </c>
      <c r="D128" s="4">
        <v>4284</v>
      </c>
      <c r="E128" s="4" t="s">
        <v>11</v>
      </c>
      <c r="F128" s="4">
        <v>15</v>
      </c>
      <c r="G128" s="4">
        <v>0.47899999999999998</v>
      </c>
    </row>
    <row r="129" spans="1:7" s="4" customFormat="1" x14ac:dyDescent="0.25">
      <c r="A129" s="5">
        <v>44</v>
      </c>
      <c r="B129" s="4" t="s">
        <v>53</v>
      </c>
      <c r="C129" s="5" t="s">
        <v>54</v>
      </c>
      <c r="D129" s="4">
        <v>18400</v>
      </c>
      <c r="E129" s="4" t="s">
        <v>3</v>
      </c>
      <c r="F129" s="4">
        <v>17</v>
      </c>
      <c r="G129" s="4">
        <f>(0.3101+0.3296+0.4108)/3</f>
        <v>0.35016666666666668</v>
      </c>
    </row>
    <row r="130" spans="1:7" s="4" customFormat="1" x14ac:dyDescent="0.25">
      <c r="A130" s="5">
        <v>45</v>
      </c>
      <c r="B130" s="4" t="s">
        <v>37</v>
      </c>
      <c r="C130" s="5" t="s">
        <v>38</v>
      </c>
      <c r="D130" s="4">
        <v>1511</v>
      </c>
      <c r="E130" s="4" t="s">
        <v>11</v>
      </c>
      <c r="F130" s="4">
        <v>20</v>
      </c>
      <c r="G130" s="4">
        <v>1.3663000000000001</v>
      </c>
    </row>
    <row r="131" spans="1:7" s="4" customFormat="1" x14ac:dyDescent="0.25">
      <c r="A131" s="5">
        <v>46</v>
      </c>
      <c r="B131" s="4" t="s">
        <v>58</v>
      </c>
      <c r="C131" s="5" t="s">
        <v>59</v>
      </c>
      <c r="D131" s="4">
        <v>2827.4333882308138</v>
      </c>
      <c r="E131" s="4" t="s">
        <v>11</v>
      </c>
      <c r="F131" s="4">
        <v>15</v>
      </c>
      <c r="G131" s="4">
        <f>LN(2)*1.8991</f>
        <v>1.3163558106013922</v>
      </c>
    </row>
    <row r="132" spans="1:7" s="4" customFormat="1" x14ac:dyDescent="0.25">
      <c r="A132" s="5">
        <v>46</v>
      </c>
      <c r="B132" s="4" t="s">
        <v>58</v>
      </c>
      <c r="C132" s="5" t="s">
        <v>59</v>
      </c>
      <c r="D132" s="4">
        <v>2827.4333882308138</v>
      </c>
      <c r="E132" s="4" t="s">
        <v>11</v>
      </c>
      <c r="F132" s="4">
        <v>20</v>
      </c>
      <c r="G132" s="4">
        <f>LN(2)*2.1889</f>
        <v>1.5172298635276642</v>
      </c>
    </row>
    <row r="133" spans="1:7" s="4" customFormat="1" x14ac:dyDescent="0.25">
      <c r="A133" s="5">
        <v>46</v>
      </c>
      <c r="B133" s="4" t="s">
        <v>58</v>
      </c>
      <c r="C133" s="5" t="s">
        <v>59</v>
      </c>
      <c r="D133" s="4">
        <v>2827.4333882308138</v>
      </c>
      <c r="E133" s="4" t="s">
        <v>11</v>
      </c>
      <c r="F133" s="4">
        <v>25</v>
      </c>
      <c r="G133" s="4">
        <f>LN(2)*2.7894</f>
        <v>1.9334647454539116</v>
      </c>
    </row>
    <row r="134" spans="1:7" s="4" customFormat="1" x14ac:dyDescent="0.25">
      <c r="A134" s="5">
        <v>46</v>
      </c>
      <c r="B134" s="4" t="s">
        <v>58</v>
      </c>
      <c r="C134" s="5" t="s">
        <v>60</v>
      </c>
      <c r="D134" s="4">
        <v>38170.350741115988</v>
      </c>
      <c r="E134" s="4" t="s">
        <v>11</v>
      </c>
      <c r="F134" s="4">
        <v>5</v>
      </c>
      <c r="G134" s="4">
        <f>LN(2)*0.6996</f>
        <v>0.4849257675197377</v>
      </c>
    </row>
    <row r="135" spans="1:7" s="4" customFormat="1" x14ac:dyDescent="0.25">
      <c r="A135" s="5">
        <v>46</v>
      </c>
      <c r="B135" s="4" t="s">
        <v>58</v>
      </c>
      <c r="C135" s="5" t="s">
        <v>60</v>
      </c>
      <c r="D135" s="4">
        <v>38170.350741115988</v>
      </c>
      <c r="E135" s="4" t="s">
        <v>11</v>
      </c>
      <c r="F135" s="4">
        <v>10</v>
      </c>
      <c r="G135" s="4">
        <f>LN(2)*1.1863</f>
        <v>0.82228050029826305</v>
      </c>
    </row>
    <row r="136" spans="1:7" s="4" customFormat="1" x14ac:dyDescent="0.25">
      <c r="A136" s="5">
        <v>46</v>
      </c>
      <c r="B136" s="4" t="s">
        <v>58</v>
      </c>
      <c r="C136" s="5" t="s">
        <v>60</v>
      </c>
      <c r="D136" s="4">
        <v>38170.350741115988</v>
      </c>
      <c r="E136" s="4" t="s">
        <v>11</v>
      </c>
      <c r="F136" s="4">
        <v>15</v>
      </c>
      <c r="G136" s="4">
        <f>LN(2)*1.4984</f>
        <v>1.038611735351022</v>
      </c>
    </row>
    <row r="137" spans="1:7" s="4" customFormat="1" x14ac:dyDescent="0.25">
      <c r="A137" s="5">
        <v>47</v>
      </c>
      <c r="B137" s="4" t="s">
        <v>32</v>
      </c>
      <c r="C137" s="5" t="s">
        <v>105</v>
      </c>
      <c r="D137" s="4">
        <v>11494</v>
      </c>
      <c r="E137" s="4" t="s">
        <v>11</v>
      </c>
      <c r="F137" s="4">
        <v>20</v>
      </c>
      <c r="G137" s="4">
        <f>0.0599*24</f>
        <v>1.4376</v>
      </c>
    </row>
    <row r="138" spans="1:7" s="4" customFormat="1" x14ac:dyDescent="0.25">
      <c r="A138" s="5">
        <v>47</v>
      </c>
      <c r="B138" s="4" t="s">
        <v>32</v>
      </c>
      <c r="C138" s="5" t="s">
        <v>105</v>
      </c>
      <c r="D138" s="4">
        <v>11494</v>
      </c>
      <c r="E138" s="4" t="s">
        <v>11</v>
      </c>
      <c r="F138" s="4">
        <v>20</v>
      </c>
      <c r="G138" s="4">
        <f>0.0604*24</f>
        <v>1.4496</v>
      </c>
    </row>
    <row r="139" spans="1:7" s="4" customFormat="1" x14ac:dyDescent="0.25">
      <c r="A139" s="5">
        <v>47</v>
      </c>
      <c r="B139" s="4" t="s">
        <v>32</v>
      </c>
      <c r="C139" s="5" t="s">
        <v>105</v>
      </c>
      <c r="D139" s="4">
        <v>11494</v>
      </c>
      <c r="E139" s="4" t="s">
        <v>11</v>
      </c>
      <c r="F139" s="4">
        <v>20</v>
      </c>
      <c r="G139" s="4">
        <f>0.0654*24</f>
        <v>1.5695999999999999</v>
      </c>
    </row>
    <row r="140" spans="1:7" s="4" customFormat="1" x14ac:dyDescent="0.25">
      <c r="A140" s="5">
        <v>47</v>
      </c>
      <c r="B140" s="4" t="s">
        <v>32</v>
      </c>
      <c r="C140" s="5" t="s">
        <v>33</v>
      </c>
      <c r="D140" s="4">
        <v>69000</v>
      </c>
      <c r="E140" s="4" t="s">
        <v>11</v>
      </c>
      <c r="F140" s="4">
        <v>20</v>
      </c>
      <c r="G140" s="4">
        <f>0.0462*24</f>
        <v>1.1088</v>
      </c>
    </row>
    <row r="141" spans="1:7" s="4" customFormat="1" x14ac:dyDescent="0.25">
      <c r="A141" s="5">
        <v>47</v>
      </c>
      <c r="B141" s="4" t="s">
        <v>32</v>
      </c>
      <c r="C141" s="5" t="s">
        <v>33</v>
      </c>
      <c r="D141" s="4">
        <v>69000</v>
      </c>
      <c r="E141" s="4" t="s">
        <v>11</v>
      </c>
      <c r="F141" s="4">
        <v>20</v>
      </c>
      <c r="G141" s="4">
        <f>0.0492*24</f>
        <v>1.1808000000000001</v>
      </c>
    </row>
    <row r="142" spans="1:7" s="4" customFormat="1" x14ac:dyDescent="0.25">
      <c r="A142" s="5">
        <v>47</v>
      </c>
      <c r="B142" s="4" t="s">
        <v>32</v>
      </c>
      <c r="C142" s="5" t="s">
        <v>33</v>
      </c>
      <c r="D142" s="4">
        <v>69000</v>
      </c>
      <c r="E142" s="4" t="s">
        <v>11</v>
      </c>
      <c r="F142" s="4">
        <v>20</v>
      </c>
      <c r="G142" s="4">
        <f>0.0601*24</f>
        <v>1.4424000000000001</v>
      </c>
    </row>
    <row r="143" spans="1:7" s="4" customFormat="1" x14ac:dyDescent="0.25">
      <c r="A143" s="5">
        <v>48</v>
      </c>
      <c r="B143" s="4" t="s">
        <v>76</v>
      </c>
      <c r="C143" s="5" t="s">
        <v>6</v>
      </c>
      <c r="D143" s="4">
        <v>2113.5813499999999</v>
      </c>
      <c r="E143" s="4" t="s">
        <v>3</v>
      </c>
      <c r="F143" s="4">
        <v>10</v>
      </c>
      <c r="G143" s="11">
        <v>0.23183333333333334</v>
      </c>
    </row>
    <row r="144" spans="1:7" s="4" customFormat="1" x14ac:dyDescent="0.25">
      <c r="A144" s="5">
        <v>48</v>
      </c>
      <c r="B144" s="4" t="s">
        <v>76</v>
      </c>
      <c r="C144" s="5" t="s">
        <v>6</v>
      </c>
      <c r="D144" s="4">
        <v>1402.3281333333334</v>
      </c>
      <c r="E144" s="4" t="s">
        <v>3</v>
      </c>
      <c r="F144" s="4">
        <v>15</v>
      </c>
      <c r="G144" s="11">
        <v>0.72883333333333322</v>
      </c>
    </row>
    <row r="145" spans="1:7" s="4" customFormat="1" x14ac:dyDescent="0.25">
      <c r="A145" s="5">
        <v>48</v>
      </c>
      <c r="B145" s="4" t="s">
        <v>76</v>
      </c>
      <c r="C145" s="5" t="s">
        <v>6</v>
      </c>
      <c r="D145" s="4">
        <v>1122.1953000000001</v>
      </c>
      <c r="E145" s="4" t="s">
        <v>3</v>
      </c>
      <c r="F145" s="4">
        <v>20</v>
      </c>
      <c r="G145" s="11">
        <v>1.0508666666666668</v>
      </c>
    </row>
    <row r="146" spans="1:7" s="4" customFormat="1" x14ac:dyDescent="0.25">
      <c r="A146" s="5">
        <v>48</v>
      </c>
      <c r="B146" s="4" t="s">
        <v>76</v>
      </c>
      <c r="C146" s="5" t="s">
        <v>6</v>
      </c>
      <c r="D146" s="4">
        <v>1113.7108333333333</v>
      </c>
      <c r="E146" s="4" t="s">
        <v>3</v>
      </c>
      <c r="F146" s="4">
        <v>25</v>
      </c>
      <c r="G146" s="11">
        <v>0.98870000000000002</v>
      </c>
    </row>
    <row r="147" spans="1:7" s="4" customFormat="1" x14ac:dyDescent="0.25">
      <c r="A147" s="5">
        <v>48</v>
      </c>
      <c r="B147" s="4" t="s">
        <v>76</v>
      </c>
      <c r="C147" s="5" t="s">
        <v>6</v>
      </c>
      <c r="D147" s="4">
        <v>1049.9613000000002</v>
      </c>
      <c r="E147" s="4" t="s">
        <v>3</v>
      </c>
      <c r="F147" s="4">
        <v>10</v>
      </c>
      <c r="G147" s="10">
        <v>0.45670000000000005</v>
      </c>
    </row>
    <row r="148" spans="1:7" s="4" customFormat="1" x14ac:dyDescent="0.25">
      <c r="A148" s="5">
        <v>48</v>
      </c>
      <c r="B148" s="4" t="s">
        <v>76</v>
      </c>
      <c r="C148" s="5" t="s">
        <v>6</v>
      </c>
      <c r="D148" s="4">
        <v>985.61484999999993</v>
      </c>
      <c r="E148" s="4" t="s">
        <v>3</v>
      </c>
      <c r="F148" s="4">
        <v>15</v>
      </c>
      <c r="G148" s="10">
        <v>0.48396666666666666</v>
      </c>
    </row>
    <row r="149" spans="1:7" s="4" customFormat="1" x14ac:dyDescent="0.25">
      <c r="A149" s="5">
        <v>48</v>
      </c>
      <c r="B149" s="4" t="s">
        <v>76</v>
      </c>
      <c r="C149" s="5" t="s">
        <v>6</v>
      </c>
      <c r="D149" s="4">
        <v>915.08119999999997</v>
      </c>
      <c r="E149" s="4" t="s">
        <v>3</v>
      </c>
      <c r="F149" s="4">
        <v>20</v>
      </c>
      <c r="G149" s="10">
        <v>0.81076666666666675</v>
      </c>
    </row>
    <row r="150" spans="1:7" s="4" customFormat="1" x14ac:dyDescent="0.25">
      <c r="A150" s="5">
        <v>48</v>
      </c>
      <c r="B150" s="4" t="s">
        <v>76</v>
      </c>
      <c r="C150" s="5" t="s">
        <v>6</v>
      </c>
      <c r="D150" s="4">
        <v>808.6620333333334</v>
      </c>
      <c r="E150" s="4" t="s">
        <v>3</v>
      </c>
      <c r="F150" s="4">
        <v>25</v>
      </c>
      <c r="G150" s="10">
        <v>0.91236666666666666</v>
      </c>
    </row>
    <row r="151" spans="1:7" s="4" customFormat="1" x14ac:dyDescent="0.25">
      <c r="A151" s="5">
        <v>48</v>
      </c>
      <c r="B151" s="4" t="s">
        <v>76</v>
      </c>
      <c r="C151" s="5" t="s">
        <v>7</v>
      </c>
      <c r="D151" s="4">
        <v>3263.5223999999998</v>
      </c>
      <c r="E151" s="4" t="s">
        <v>3</v>
      </c>
      <c r="F151" s="4">
        <v>5</v>
      </c>
      <c r="G151" s="11">
        <v>5.8100000000000006E-2</v>
      </c>
    </row>
    <row r="152" spans="1:7" s="4" customFormat="1" x14ac:dyDescent="0.25">
      <c r="A152" s="5">
        <v>48</v>
      </c>
      <c r="B152" s="4" t="s">
        <v>76</v>
      </c>
      <c r="C152" s="5" t="s">
        <v>7</v>
      </c>
      <c r="D152" s="4">
        <v>2542.4106666666667</v>
      </c>
      <c r="E152" s="4" t="s">
        <v>3</v>
      </c>
      <c r="F152" s="4">
        <v>10</v>
      </c>
      <c r="G152" s="11">
        <v>0.70683333333333331</v>
      </c>
    </row>
    <row r="153" spans="1:7" s="4" customFormat="1" x14ac:dyDescent="0.25">
      <c r="A153" s="5">
        <v>48</v>
      </c>
      <c r="B153" s="4" t="s">
        <v>76</v>
      </c>
      <c r="C153" s="5" t="s">
        <v>7</v>
      </c>
      <c r="D153" s="4">
        <v>2428.7645666666667</v>
      </c>
      <c r="E153" s="4" t="s">
        <v>3</v>
      </c>
      <c r="F153" s="4">
        <v>15</v>
      </c>
      <c r="G153" s="11">
        <v>1.3978000000000002</v>
      </c>
    </row>
    <row r="154" spans="1:7" s="4" customFormat="1" x14ac:dyDescent="0.25">
      <c r="A154" s="5">
        <v>48</v>
      </c>
      <c r="B154" s="4" t="s">
        <v>76</v>
      </c>
      <c r="C154" s="5" t="s">
        <v>7</v>
      </c>
      <c r="D154" s="4">
        <v>1625.4775666666665</v>
      </c>
      <c r="E154" s="4" t="s">
        <v>3</v>
      </c>
      <c r="F154" s="4">
        <v>20</v>
      </c>
      <c r="G154" s="11">
        <v>1.6372666666666664</v>
      </c>
    </row>
    <row r="155" spans="1:7" s="4" customFormat="1" x14ac:dyDescent="0.25">
      <c r="A155" s="5">
        <v>48</v>
      </c>
      <c r="B155" s="4" t="s">
        <v>76</v>
      </c>
      <c r="C155" s="5" t="s">
        <v>7</v>
      </c>
      <c r="D155" s="4">
        <v>1782.78125</v>
      </c>
      <c r="E155" s="4" t="s">
        <v>3</v>
      </c>
      <c r="F155" s="4">
        <v>25</v>
      </c>
      <c r="G155" s="11">
        <v>1.8212333333333335</v>
      </c>
    </row>
    <row r="156" spans="1:7" s="4" customFormat="1" x14ac:dyDescent="0.25">
      <c r="A156" s="5">
        <v>48</v>
      </c>
      <c r="B156" s="4" t="s">
        <v>76</v>
      </c>
      <c r="C156" s="5" t="s">
        <v>7</v>
      </c>
      <c r="D156" s="4">
        <v>1864.5576666666668</v>
      </c>
      <c r="E156" s="4" t="s">
        <v>3</v>
      </c>
      <c r="F156" s="4">
        <v>30</v>
      </c>
      <c r="G156" s="11">
        <v>1.7729666666666668</v>
      </c>
    </row>
    <row r="157" spans="1:7" s="4" customFormat="1" x14ac:dyDescent="0.25">
      <c r="A157" s="5">
        <v>49</v>
      </c>
      <c r="B157" s="4" t="s">
        <v>79</v>
      </c>
      <c r="C157" s="5" t="s">
        <v>75</v>
      </c>
      <c r="D157" s="4">
        <v>92750</v>
      </c>
      <c r="E157" s="4" t="s">
        <v>3</v>
      </c>
      <c r="F157" s="4">
        <v>9</v>
      </c>
      <c r="G157" s="4">
        <v>0.49945000000000001</v>
      </c>
    </row>
    <row r="158" spans="1:7" s="4" customFormat="1" x14ac:dyDescent="0.25">
      <c r="A158" s="5">
        <v>49</v>
      </c>
      <c r="B158" s="4" t="s">
        <v>79</v>
      </c>
      <c r="C158" s="5" t="s">
        <v>75</v>
      </c>
      <c r="D158" s="4">
        <v>95745</v>
      </c>
      <c r="E158" s="4" t="s">
        <v>3</v>
      </c>
      <c r="F158" s="4">
        <v>12</v>
      </c>
      <c r="G158" s="4">
        <v>0.66849999999999998</v>
      </c>
    </row>
    <row r="159" spans="1:7" s="4" customFormat="1" x14ac:dyDescent="0.25">
      <c r="A159" s="5">
        <v>49</v>
      </c>
      <c r="B159" s="4" t="s">
        <v>79</v>
      </c>
      <c r="C159" s="5" t="s">
        <v>75</v>
      </c>
      <c r="D159" s="4">
        <v>101140</v>
      </c>
      <c r="E159" s="4" t="s">
        <v>3</v>
      </c>
      <c r="F159" s="4">
        <v>15</v>
      </c>
      <c r="G159" s="4">
        <v>0.90300000000000002</v>
      </c>
    </row>
    <row r="160" spans="1:7" s="4" customFormat="1" x14ac:dyDescent="0.25">
      <c r="A160" s="5">
        <v>49</v>
      </c>
      <c r="B160" s="4" t="s">
        <v>79</v>
      </c>
      <c r="C160" s="5" t="s">
        <v>75</v>
      </c>
      <c r="D160" s="4">
        <v>85355.489000000001</v>
      </c>
      <c r="E160" s="4" t="s">
        <v>3</v>
      </c>
      <c r="F160" s="4">
        <v>18</v>
      </c>
      <c r="G160" s="4">
        <v>1.1616</v>
      </c>
    </row>
    <row r="161" spans="1:7" s="4" customFormat="1" x14ac:dyDescent="0.25">
      <c r="A161" s="5">
        <v>49</v>
      </c>
      <c r="B161" s="4" t="s">
        <v>79</v>
      </c>
      <c r="C161" s="5" t="s">
        <v>75</v>
      </c>
      <c r="D161" s="4">
        <v>83558.283450000003</v>
      </c>
      <c r="E161" s="4" t="s">
        <v>3</v>
      </c>
      <c r="F161" s="4">
        <v>21</v>
      </c>
      <c r="G161" s="4">
        <v>1.0693000000000001</v>
      </c>
    </row>
    <row r="162" spans="1:7" s="4" customFormat="1" x14ac:dyDescent="0.25">
      <c r="A162" s="5">
        <v>49</v>
      </c>
      <c r="B162" s="4" t="s">
        <v>79</v>
      </c>
      <c r="C162" s="5" t="s">
        <v>75</v>
      </c>
      <c r="D162" s="4">
        <v>96152.295400000003</v>
      </c>
      <c r="E162" s="4" t="s">
        <v>3</v>
      </c>
      <c r="F162" s="4">
        <v>22</v>
      </c>
      <c r="G162" s="4">
        <v>1.0006999999999999</v>
      </c>
    </row>
    <row r="163" spans="1:7" s="4" customFormat="1" x14ac:dyDescent="0.25">
      <c r="A163" s="5">
        <v>49</v>
      </c>
      <c r="B163" s="4" t="s">
        <v>79</v>
      </c>
      <c r="C163" s="5" t="s">
        <v>75</v>
      </c>
      <c r="D163" s="4">
        <v>70600</v>
      </c>
      <c r="E163" s="4" t="s">
        <v>3</v>
      </c>
      <c r="F163" s="4">
        <v>24</v>
      </c>
      <c r="G163" s="4">
        <v>1.1994</v>
      </c>
    </row>
    <row r="164" spans="1:7" s="4" customFormat="1" x14ac:dyDescent="0.25">
      <c r="A164" s="5">
        <v>49</v>
      </c>
      <c r="B164" s="4" t="s">
        <v>79</v>
      </c>
      <c r="C164" s="5" t="s">
        <v>80</v>
      </c>
      <c r="D164" s="4">
        <v>26636.952624999998</v>
      </c>
      <c r="E164" s="4" t="s">
        <v>3</v>
      </c>
      <c r="F164" s="4">
        <v>9</v>
      </c>
      <c r="G164" s="4">
        <v>8.1033333333333332E-2</v>
      </c>
    </row>
    <row r="165" spans="1:7" s="4" customFormat="1" x14ac:dyDescent="0.25">
      <c r="A165" s="5">
        <v>49</v>
      </c>
      <c r="B165" s="4" t="s">
        <v>79</v>
      </c>
      <c r="C165" s="5" t="s">
        <v>80</v>
      </c>
      <c r="D165" s="4">
        <v>29204.604599999999</v>
      </c>
      <c r="E165" s="4" t="s">
        <v>3</v>
      </c>
      <c r="F165" s="4">
        <v>12</v>
      </c>
      <c r="G165" s="4">
        <v>0.191</v>
      </c>
    </row>
    <row r="166" spans="1:7" s="4" customFormat="1" x14ac:dyDescent="0.25">
      <c r="A166" s="5">
        <v>49</v>
      </c>
      <c r="B166" s="4" t="s">
        <v>79</v>
      </c>
      <c r="C166" s="5" t="s">
        <v>80</v>
      </c>
      <c r="D166" s="4">
        <v>28353.907525000002</v>
      </c>
      <c r="E166" s="4" t="s">
        <v>3</v>
      </c>
      <c r="F166" s="4">
        <v>15</v>
      </c>
      <c r="G166" s="4">
        <v>0.30435000000000001</v>
      </c>
    </row>
    <row r="167" spans="1:7" s="4" customFormat="1" x14ac:dyDescent="0.25">
      <c r="A167" s="5">
        <v>49</v>
      </c>
      <c r="B167" s="4" t="s">
        <v>79</v>
      </c>
      <c r="C167" s="5" t="s">
        <v>80</v>
      </c>
      <c r="D167" s="4">
        <v>24366.228949999997</v>
      </c>
      <c r="E167" s="4" t="s">
        <v>3</v>
      </c>
      <c r="F167" s="4">
        <v>18</v>
      </c>
      <c r="G167" s="4">
        <v>0.28812500000000002</v>
      </c>
    </row>
    <row r="168" spans="1:7" s="4" customFormat="1" x14ac:dyDescent="0.25">
      <c r="A168" s="5">
        <v>49</v>
      </c>
      <c r="B168" s="4" t="s">
        <v>79</v>
      </c>
      <c r="C168" s="5" t="s">
        <v>80</v>
      </c>
      <c r="D168" s="4">
        <v>24928.674699999996</v>
      </c>
      <c r="E168" s="4" t="s">
        <v>3</v>
      </c>
      <c r="F168" s="4">
        <v>21</v>
      </c>
      <c r="G168" s="4">
        <v>0.30852499999999999</v>
      </c>
    </row>
    <row r="169" spans="1:7" s="4" customFormat="1" x14ac:dyDescent="0.25">
      <c r="A169" s="5">
        <v>50</v>
      </c>
      <c r="B169" s="4" t="s">
        <v>61</v>
      </c>
      <c r="C169" s="5" t="s">
        <v>62</v>
      </c>
      <c r="D169" s="4">
        <v>28374.9094</v>
      </c>
      <c r="E169" s="4" t="s">
        <v>3</v>
      </c>
      <c r="F169" s="4">
        <v>15</v>
      </c>
      <c r="G169" s="4">
        <v>0.05</v>
      </c>
    </row>
    <row r="170" spans="1:7" s="4" customFormat="1" x14ac:dyDescent="0.25">
      <c r="A170" s="5">
        <v>50</v>
      </c>
      <c r="B170" s="4" t="s">
        <v>61</v>
      </c>
      <c r="C170" s="5" t="s">
        <v>62</v>
      </c>
      <c r="D170" s="4">
        <v>66951.956000000006</v>
      </c>
      <c r="E170" s="4" t="s">
        <v>3</v>
      </c>
      <c r="F170" s="4">
        <v>17.5</v>
      </c>
      <c r="G170" s="4">
        <v>0.38500000000000001</v>
      </c>
    </row>
    <row r="171" spans="1:7" s="4" customFormat="1" x14ac:dyDescent="0.25">
      <c r="A171" s="5">
        <v>50</v>
      </c>
      <c r="B171" s="4" t="s">
        <v>61</v>
      </c>
      <c r="C171" s="5" t="s">
        <v>62</v>
      </c>
      <c r="D171" s="4">
        <v>72398.918099999995</v>
      </c>
      <c r="E171" s="4" t="s">
        <v>3</v>
      </c>
      <c r="F171" s="4">
        <v>20</v>
      </c>
      <c r="G171" s="4">
        <v>0.61199999999999999</v>
      </c>
    </row>
    <row r="172" spans="1:7" s="4" customFormat="1" x14ac:dyDescent="0.25">
      <c r="A172" s="5">
        <v>50</v>
      </c>
      <c r="B172" s="4" t="s">
        <v>61</v>
      </c>
      <c r="C172" s="5" t="s">
        <v>62</v>
      </c>
      <c r="D172" s="4">
        <v>44716.324999999997</v>
      </c>
      <c r="E172" s="4" t="s">
        <v>3</v>
      </c>
      <c r="F172" s="4">
        <v>22.5</v>
      </c>
      <c r="G172" s="4">
        <v>1.7749999999999999</v>
      </c>
    </row>
    <row r="173" spans="1:7" s="4" customFormat="1" x14ac:dyDescent="0.25">
      <c r="A173" s="5">
        <v>50</v>
      </c>
      <c r="B173" s="4" t="s">
        <v>61</v>
      </c>
      <c r="C173" s="5" t="s">
        <v>62</v>
      </c>
      <c r="D173" s="4">
        <v>52195.775199999996</v>
      </c>
      <c r="E173" s="4" t="s">
        <v>3</v>
      </c>
      <c r="F173" s="4">
        <v>25</v>
      </c>
      <c r="G173" s="4">
        <v>2.4129999999999998</v>
      </c>
    </row>
    <row r="174" spans="1:7" s="4" customFormat="1" x14ac:dyDescent="0.25">
      <c r="A174" s="5">
        <v>50</v>
      </c>
      <c r="B174" s="4" t="s">
        <v>61</v>
      </c>
      <c r="C174" s="5" t="s">
        <v>62</v>
      </c>
      <c r="D174" s="4">
        <v>41992.579299999998</v>
      </c>
      <c r="E174" s="4" t="s">
        <v>3</v>
      </c>
      <c r="F174" s="4">
        <v>27.5</v>
      </c>
      <c r="G174" s="4">
        <v>2.0270000000000001</v>
      </c>
    </row>
    <row r="175" spans="1:7" s="4" customFormat="1" x14ac:dyDescent="0.25">
      <c r="A175" s="5">
        <v>50</v>
      </c>
      <c r="B175" s="4" t="s">
        <v>61</v>
      </c>
      <c r="C175" s="5" t="s">
        <v>62</v>
      </c>
      <c r="D175" s="4">
        <v>37683.069499999998</v>
      </c>
      <c r="E175" s="4" t="s">
        <v>3</v>
      </c>
      <c r="F175" s="4">
        <v>30</v>
      </c>
      <c r="G175" s="4">
        <v>1.9830000000000001</v>
      </c>
    </row>
    <row r="176" spans="1:7" s="4" customFormat="1" x14ac:dyDescent="0.25">
      <c r="A176" s="5">
        <v>51</v>
      </c>
      <c r="B176" s="4" t="s">
        <v>4</v>
      </c>
      <c r="C176" s="5" t="s">
        <v>5</v>
      </c>
      <c r="D176" s="4">
        <v>1700</v>
      </c>
      <c r="E176" s="4" t="s">
        <v>3</v>
      </c>
      <c r="F176" s="4">
        <v>15</v>
      </c>
      <c r="G176" s="4">
        <f>(0.6738+0.7993+0.8934+1.0765+1.0765+1.1549)/6</f>
        <v>0.94573333333333343</v>
      </c>
    </row>
    <row r="177" spans="1:7" s="4" customFormat="1" x14ac:dyDescent="0.25">
      <c r="A177" s="5">
        <v>51</v>
      </c>
      <c r="B177" s="4" t="s">
        <v>4</v>
      </c>
      <c r="C177" s="5" t="s">
        <v>5</v>
      </c>
      <c r="D177" s="4">
        <v>2330</v>
      </c>
      <c r="E177" s="4" t="s">
        <v>3</v>
      </c>
      <c r="F177" s="4">
        <v>6</v>
      </c>
      <c r="G177" s="4">
        <v>0.27700000000000002</v>
      </c>
    </row>
    <row r="178" spans="1:7" s="4" customFormat="1" x14ac:dyDescent="0.25">
      <c r="A178" s="5">
        <v>51</v>
      </c>
      <c r="B178" s="4" t="s">
        <v>4</v>
      </c>
      <c r="C178" s="5" t="s">
        <v>5</v>
      </c>
      <c r="D178" s="4">
        <v>2330</v>
      </c>
      <c r="E178" s="4" t="s">
        <v>3</v>
      </c>
      <c r="F178" s="4">
        <v>7.5</v>
      </c>
      <c r="G178" s="4">
        <v>0.59699999999999998</v>
      </c>
    </row>
    <row r="179" spans="1:7" s="4" customFormat="1" x14ac:dyDescent="0.25">
      <c r="A179" s="5">
        <v>51</v>
      </c>
      <c r="B179" s="4" t="s">
        <v>4</v>
      </c>
      <c r="C179" s="5" t="s">
        <v>5</v>
      </c>
      <c r="D179" s="4">
        <v>2330</v>
      </c>
      <c r="E179" s="4" t="s">
        <v>3</v>
      </c>
      <c r="F179" s="4">
        <v>9</v>
      </c>
      <c r="G179" s="4">
        <v>0.85299999999999998</v>
      </c>
    </row>
    <row r="180" spans="1:7" s="4" customFormat="1" x14ac:dyDescent="0.25">
      <c r="A180" s="5">
        <v>51</v>
      </c>
      <c r="B180" s="4" t="s">
        <v>4</v>
      </c>
      <c r="C180" s="5" t="s">
        <v>5</v>
      </c>
      <c r="D180" s="4">
        <v>2330</v>
      </c>
      <c r="E180" s="4" t="s">
        <v>3</v>
      </c>
      <c r="F180" s="4">
        <v>12</v>
      </c>
      <c r="G180" s="4">
        <v>1.054</v>
      </c>
    </row>
    <row r="181" spans="1:7" s="4" customFormat="1" x14ac:dyDescent="0.25">
      <c r="A181" s="5">
        <v>51</v>
      </c>
      <c r="B181" s="4" t="s">
        <v>4</v>
      </c>
      <c r="C181" s="5" t="s">
        <v>5</v>
      </c>
      <c r="D181" s="4">
        <v>2330</v>
      </c>
      <c r="E181" s="4" t="s">
        <v>3</v>
      </c>
      <c r="F181" s="4">
        <v>15</v>
      </c>
      <c r="G181" s="4">
        <v>1.425</v>
      </c>
    </row>
    <row r="182" spans="1:7" s="4" customFormat="1" x14ac:dyDescent="0.25">
      <c r="A182" s="5">
        <v>51</v>
      </c>
      <c r="B182" s="4" t="s">
        <v>4</v>
      </c>
      <c r="C182" s="5" t="s">
        <v>5</v>
      </c>
      <c r="D182" s="4">
        <v>2330</v>
      </c>
      <c r="E182" s="4" t="s">
        <v>3</v>
      </c>
      <c r="F182" s="4">
        <v>18</v>
      </c>
      <c r="G182" s="4">
        <v>1.595</v>
      </c>
    </row>
    <row r="183" spans="1:7" s="4" customFormat="1" x14ac:dyDescent="0.25">
      <c r="A183" s="5">
        <v>51</v>
      </c>
      <c r="B183" s="4" t="s">
        <v>4</v>
      </c>
      <c r="C183" s="5" t="s">
        <v>5</v>
      </c>
      <c r="D183" s="4">
        <v>2330</v>
      </c>
      <c r="E183" s="4" t="s">
        <v>3</v>
      </c>
      <c r="F183" s="4">
        <v>19.5</v>
      </c>
      <c r="G183" s="4">
        <v>1.411</v>
      </c>
    </row>
    <row r="184" spans="1:7" s="4" customFormat="1" x14ac:dyDescent="0.25">
      <c r="A184" s="5">
        <v>51</v>
      </c>
      <c r="B184" s="4" t="s">
        <v>4</v>
      </c>
      <c r="C184" s="5" t="s">
        <v>5</v>
      </c>
      <c r="D184" s="4">
        <v>2330</v>
      </c>
      <c r="E184" s="4" t="s">
        <v>3</v>
      </c>
      <c r="F184" s="4">
        <v>21</v>
      </c>
      <c r="G184" s="4">
        <v>0.77500000000000002</v>
      </c>
    </row>
    <row r="185" spans="1:7" s="4" customFormat="1" x14ac:dyDescent="0.25">
      <c r="A185" s="5">
        <v>51</v>
      </c>
      <c r="B185" s="4" t="s">
        <v>4</v>
      </c>
      <c r="C185" s="5" t="s">
        <v>7</v>
      </c>
      <c r="D185" s="4">
        <v>3350</v>
      </c>
      <c r="E185" s="4" t="s">
        <v>3</v>
      </c>
      <c r="F185" s="4">
        <v>9.4</v>
      </c>
      <c r="G185" s="4">
        <v>0.69799999999999995</v>
      </c>
    </row>
    <row r="186" spans="1:7" s="4" customFormat="1" x14ac:dyDescent="0.25">
      <c r="A186" s="5">
        <v>51</v>
      </c>
      <c r="B186" s="4" t="s">
        <v>4</v>
      </c>
      <c r="C186" s="5" t="s">
        <v>7</v>
      </c>
      <c r="D186" s="4">
        <v>3350</v>
      </c>
      <c r="E186" s="4" t="s">
        <v>3</v>
      </c>
      <c r="F186" s="4">
        <v>12.6</v>
      </c>
      <c r="G186" s="4">
        <v>1.202</v>
      </c>
    </row>
    <row r="187" spans="1:7" s="4" customFormat="1" x14ac:dyDescent="0.25">
      <c r="A187" s="5">
        <v>51</v>
      </c>
      <c r="B187" s="4" t="s">
        <v>4</v>
      </c>
      <c r="C187" s="5" t="s">
        <v>7</v>
      </c>
      <c r="D187" s="4">
        <v>3350</v>
      </c>
      <c r="E187" s="4" t="s">
        <v>3</v>
      </c>
      <c r="F187" s="4">
        <v>15.4</v>
      </c>
      <c r="G187" s="4">
        <v>1.4590000000000001</v>
      </c>
    </row>
    <row r="188" spans="1:7" s="4" customFormat="1" x14ac:dyDescent="0.25">
      <c r="A188" s="5">
        <v>51</v>
      </c>
      <c r="B188" s="4" t="s">
        <v>4</v>
      </c>
      <c r="C188" s="5" t="s">
        <v>7</v>
      </c>
      <c r="D188" s="4">
        <v>3350</v>
      </c>
      <c r="E188" s="4" t="s">
        <v>3</v>
      </c>
      <c r="F188" s="4">
        <v>18.5</v>
      </c>
      <c r="G188" s="4">
        <v>1.7769999999999999</v>
      </c>
    </row>
    <row r="189" spans="1:7" s="4" customFormat="1" x14ac:dyDescent="0.25">
      <c r="A189" s="5">
        <v>51</v>
      </c>
      <c r="B189" s="4" t="s">
        <v>4</v>
      </c>
      <c r="C189" s="5" t="s">
        <v>7</v>
      </c>
      <c r="D189" s="4">
        <v>3350</v>
      </c>
      <c r="E189" s="4" t="s">
        <v>3</v>
      </c>
      <c r="F189" s="4">
        <v>21.5</v>
      </c>
      <c r="G189" s="4">
        <v>2.7210000000000001</v>
      </c>
    </row>
    <row r="190" spans="1:7" s="4" customFormat="1" x14ac:dyDescent="0.25">
      <c r="A190" s="5">
        <v>51</v>
      </c>
      <c r="B190" s="4" t="s">
        <v>4</v>
      </c>
      <c r="C190" s="5" t="s">
        <v>7</v>
      </c>
      <c r="D190" s="4">
        <v>3350</v>
      </c>
      <c r="E190" s="4" t="s">
        <v>3</v>
      </c>
      <c r="F190" s="4">
        <v>24.3</v>
      </c>
      <c r="G190" s="4">
        <v>2.9580000000000002</v>
      </c>
    </row>
    <row r="191" spans="1:7" s="4" customFormat="1" x14ac:dyDescent="0.25">
      <c r="A191" s="5">
        <v>51</v>
      </c>
      <c r="B191" s="4" t="s">
        <v>4</v>
      </c>
      <c r="C191" s="5" t="s">
        <v>71</v>
      </c>
      <c r="D191" s="4">
        <v>9750</v>
      </c>
      <c r="E191" s="4" t="s">
        <v>3</v>
      </c>
      <c r="F191" s="4">
        <v>5.2</v>
      </c>
      <c r="G191" s="4">
        <v>3.9E-2</v>
      </c>
    </row>
    <row r="192" spans="1:7" s="4" customFormat="1" x14ac:dyDescent="0.25">
      <c r="A192" s="5">
        <v>51</v>
      </c>
      <c r="B192" s="4" t="s">
        <v>4</v>
      </c>
      <c r="C192" s="5" t="s">
        <v>71</v>
      </c>
      <c r="D192" s="4">
        <v>9750</v>
      </c>
      <c r="E192" s="4" t="s">
        <v>3</v>
      </c>
      <c r="F192" s="4">
        <v>7.7</v>
      </c>
      <c r="G192" s="4">
        <v>0.216</v>
      </c>
    </row>
    <row r="193" spans="1:7" s="4" customFormat="1" x14ac:dyDescent="0.25">
      <c r="A193" s="5">
        <v>51</v>
      </c>
      <c r="B193" s="4" t="s">
        <v>4</v>
      </c>
      <c r="C193" s="5" t="s">
        <v>71</v>
      </c>
      <c r="D193" s="4">
        <v>9750</v>
      </c>
      <c r="E193" s="4" t="s">
        <v>3</v>
      </c>
      <c r="F193" s="4">
        <v>10.1</v>
      </c>
      <c r="G193" s="4">
        <v>0.51</v>
      </c>
    </row>
    <row r="194" spans="1:7" s="4" customFormat="1" x14ac:dyDescent="0.25">
      <c r="A194" s="5">
        <v>51</v>
      </c>
      <c r="B194" s="4" t="s">
        <v>4</v>
      </c>
      <c r="C194" s="5" t="s">
        <v>71</v>
      </c>
      <c r="D194" s="4">
        <v>9750</v>
      </c>
      <c r="E194" s="4" t="s">
        <v>3</v>
      </c>
      <c r="F194" s="4">
        <v>12.7</v>
      </c>
      <c r="G194" s="4">
        <v>0.64800000000000002</v>
      </c>
    </row>
    <row r="195" spans="1:7" s="4" customFormat="1" x14ac:dyDescent="0.25">
      <c r="A195" s="5">
        <v>51</v>
      </c>
      <c r="B195" s="4" t="s">
        <v>4</v>
      </c>
      <c r="C195" s="5" t="s">
        <v>71</v>
      </c>
      <c r="D195" s="4">
        <v>9750</v>
      </c>
      <c r="E195" s="4" t="s">
        <v>3</v>
      </c>
      <c r="F195" s="4">
        <v>15.3</v>
      </c>
      <c r="G195" s="4">
        <v>0.54900000000000004</v>
      </c>
    </row>
    <row r="196" spans="1:7" s="4" customFormat="1" x14ac:dyDescent="0.25">
      <c r="A196" s="5">
        <v>51</v>
      </c>
      <c r="B196" s="4" t="s">
        <v>4</v>
      </c>
      <c r="C196" s="5" t="s">
        <v>71</v>
      </c>
      <c r="D196" s="4">
        <v>9750</v>
      </c>
      <c r="E196" s="4" t="s">
        <v>3</v>
      </c>
      <c r="F196" s="4">
        <v>17.600000000000001</v>
      </c>
      <c r="G196" s="4">
        <v>0.51800000000000002</v>
      </c>
    </row>
    <row r="197" spans="1:7" s="4" customFormat="1" x14ac:dyDescent="0.25">
      <c r="A197" s="5">
        <v>51</v>
      </c>
      <c r="B197" s="4" t="s">
        <v>4</v>
      </c>
      <c r="C197" s="5" t="s">
        <v>71</v>
      </c>
      <c r="D197" s="4">
        <v>9750</v>
      </c>
      <c r="E197" s="4" t="s">
        <v>3</v>
      </c>
      <c r="F197" s="4">
        <v>20.2</v>
      </c>
      <c r="G197" s="4">
        <v>0.495</v>
      </c>
    </row>
    <row r="198" spans="1:7" s="4" customFormat="1" x14ac:dyDescent="0.25">
      <c r="A198" s="5">
        <v>51</v>
      </c>
      <c r="B198" s="4" t="s">
        <v>4</v>
      </c>
      <c r="C198" s="5" t="s">
        <v>71</v>
      </c>
      <c r="D198" s="4">
        <v>9750</v>
      </c>
      <c r="E198" s="4" t="s">
        <v>3</v>
      </c>
      <c r="F198" s="4">
        <v>22.7</v>
      </c>
      <c r="G198" s="4">
        <v>0.41899999999999998</v>
      </c>
    </row>
    <row r="199" spans="1:7" s="4" customFormat="1" x14ac:dyDescent="0.25">
      <c r="A199" s="5">
        <v>51</v>
      </c>
      <c r="B199" s="5" t="s">
        <v>4</v>
      </c>
      <c r="C199" s="5" t="s">
        <v>71</v>
      </c>
      <c r="D199" s="5">
        <v>9750</v>
      </c>
      <c r="E199" s="5" t="s">
        <v>3</v>
      </c>
      <c r="F199" s="5">
        <v>25.2</v>
      </c>
      <c r="G199" s="5">
        <v>0.47199999999999998</v>
      </c>
    </row>
    <row r="200" spans="1:7" s="4" customFormat="1" x14ac:dyDescent="0.25">
      <c r="A200" s="5">
        <v>51</v>
      </c>
      <c r="B200" s="4" t="s">
        <v>4</v>
      </c>
      <c r="C200" s="5" t="s">
        <v>6</v>
      </c>
      <c r="D200" s="4">
        <v>3150</v>
      </c>
      <c r="E200" s="4" t="s">
        <v>3</v>
      </c>
      <c r="F200" s="4">
        <v>10</v>
      </c>
      <c r="G200" s="4">
        <v>0.20200000000000001</v>
      </c>
    </row>
    <row r="201" spans="1:7" s="4" customFormat="1" x14ac:dyDescent="0.25">
      <c r="A201" s="5">
        <v>51</v>
      </c>
      <c r="B201" s="4" t="s">
        <v>4</v>
      </c>
      <c r="C201" s="5" t="s">
        <v>6</v>
      </c>
      <c r="D201" s="4">
        <v>3150</v>
      </c>
      <c r="E201" s="4" t="s">
        <v>3</v>
      </c>
      <c r="F201" s="4">
        <v>15</v>
      </c>
      <c r="G201" s="4">
        <v>0.7</v>
      </c>
    </row>
    <row r="202" spans="1:7" s="4" customFormat="1" x14ac:dyDescent="0.25">
      <c r="A202" s="5">
        <v>51</v>
      </c>
      <c r="B202" s="4" t="s">
        <v>4</v>
      </c>
      <c r="C202" s="5" t="s">
        <v>6</v>
      </c>
      <c r="D202" s="4">
        <v>3150</v>
      </c>
      <c r="E202" s="4" t="s">
        <v>3</v>
      </c>
      <c r="F202" s="4">
        <v>20</v>
      </c>
      <c r="G202" s="4">
        <v>1.0029999999999999</v>
      </c>
    </row>
    <row r="203" spans="1:7" s="4" customFormat="1" x14ac:dyDescent="0.25">
      <c r="A203" s="5">
        <v>51</v>
      </c>
      <c r="B203" s="4" t="s">
        <v>4</v>
      </c>
      <c r="C203" s="5" t="s">
        <v>6</v>
      </c>
      <c r="D203" s="4">
        <v>3150</v>
      </c>
      <c r="E203" s="4" t="s">
        <v>3</v>
      </c>
      <c r="F203" s="4">
        <v>25</v>
      </c>
      <c r="G203" s="4">
        <v>0.94399999999999995</v>
      </c>
    </row>
    <row r="204" spans="1:7" s="4" customFormat="1" x14ac:dyDescent="0.25">
      <c r="A204" s="5">
        <v>51</v>
      </c>
      <c r="B204" s="4" t="s">
        <v>4</v>
      </c>
      <c r="C204" s="5" t="s">
        <v>6</v>
      </c>
      <c r="D204" s="4">
        <v>3150</v>
      </c>
      <c r="E204" s="4" t="s">
        <v>3</v>
      </c>
      <c r="F204" s="4">
        <v>27.5</v>
      </c>
      <c r="G204" s="4">
        <v>0.23200000000000001</v>
      </c>
    </row>
    <row r="205" spans="1:7" s="4" customFormat="1" x14ac:dyDescent="0.25">
      <c r="A205" s="5">
        <v>51</v>
      </c>
      <c r="B205" s="4" t="s">
        <v>4</v>
      </c>
      <c r="C205" s="5" t="s">
        <v>6</v>
      </c>
      <c r="D205" s="4">
        <v>3150</v>
      </c>
      <c r="E205" s="4" t="s">
        <v>3</v>
      </c>
      <c r="F205" s="4">
        <v>5</v>
      </c>
      <c r="G205" s="4">
        <v>0.19500000000000001</v>
      </c>
    </row>
    <row r="206" spans="1:7" s="4" customFormat="1" x14ac:dyDescent="0.25">
      <c r="A206" s="5">
        <v>51</v>
      </c>
      <c r="B206" s="4" t="s">
        <v>4</v>
      </c>
      <c r="C206" s="5" t="s">
        <v>6</v>
      </c>
      <c r="D206" s="4">
        <v>3150</v>
      </c>
      <c r="E206" s="4" t="s">
        <v>3</v>
      </c>
      <c r="F206" s="4">
        <v>10</v>
      </c>
      <c r="G206" s="4">
        <v>0.17599999999999999</v>
      </c>
    </row>
    <row r="207" spans="1:7" s="4" customFormat="1" x14ac:dyDescent="0.25">
      <c r="A207" s="5">
        <v>51</v>
      </c>
      <c r="B207" s="4" t="s">
        <v>4</v>
      </c>
      <c r="C207" s="5" t="s">
        <v>6</v>
      </c>
      <c r="D207" s="4">
        <v>3150</v>
      </c>
      <c r="E207" s="4" t="s">
        <v>3</v>
      </c>
      <c r="F207" s="4">
        <v>15</v>
      </c>
      <c r="G207" s="4">
        <v>0.22800000000000001</v>
      </c>
    </row>
    <row r="208" spans="1:7" s="4" customFormat="1" x14ac:dyDescent="0.25">
      <c r="A208" s="5">
        <v>51</v>
      </c>
      <c r="B208" s="4" t="s">
        <v>4</v>
      </c>
      <c r="C208" s="5" t="s">
        <v>6</v>
      </c>
      <c r="D208" s="4">
        <v>3150</v>
      </c>
      <c r="E208" s="4" t="s">
        <v>3</v>
      </c>
      <c r="F208" s="4">
        <v>20</v>
      </c>
      <c r="G208" s="4">
        <v>0.318</v>
      </c>
    </row>
    <row r="209" spans="1:7" s="4" customFormat="1" x14ac:dyDescent="0.25">
      <c r="A209" s="5">
        <v>51</v>
      </c>
      <c r="B209" s="4" t="s">
        <v>4</v>
      </c>
      <c r="C209" s="5" t="s">
        <v>6</v>
      </c>
      <c r="D209" s="4">
        <v>3150</v>
      </c>
      <c r="E209" s="4" t="s">
        <v>3</v>
      </c>
      <c r="F209" s="4">
        <v>25</v>
      </c>
      <c r="G209" s="4">
        <v>0.51300000000000001</v>
      </c>
    </row>
    <row r="210" spans="1:7" s="4" customFormat="1" x14ac:dyDescent="0.25">
      <c r="A210" s="5">
        <v>52</v>
      </c>
      <c r="B210" s="4" t="s">
        <v>51</v>
      </c>
      <c r="C210" s="5" t="s">
        <v>7</v>
      </c>
      <c r="D210" s="4">
        <v>4460</v>
      </c>
      <c r="E210" s="4" t="s">
        <v>3</v>
      </c>
      <c r="F210" s="4">
        <v>9</v>
      </c>
      <c r="G210" s="4">
        <f>(0.7635+0.7622+0.5544)/3</f>
        <v>0.69336666666666658</v>
      </c>
    </row>
    <row r="211" spans="1:7" s="4" customFormat="1" x14ac:dyDescent="0.25">
      <c r="A211" s="5">
        <v>52</v>
      </c>
      <c r="B211" s="4" t="s">
        <v>51</v>
      </c>
      <c r="C211" s="5" t="s">
        <v>7</v>
      </c>
      <c r="D211" s="4">
        <v>6380</v>
      </c>
      <c r="E211" s="4" t="s">
        <v>3</v>
      </c>
      <c r="F211" s="4">
        <v>12</v>
      </c>
      <c r="G211" s="4">
        <f>(1.0478+1.1631+1.3099)/3</f>
        <v>1.1736000000000002</v>
      </c>
    </row>
    <row r="212" spans="1:7" s="4" customFormat="1" x14ac:dyDescent="0.25">
      <c r="A212" s="5">
        <v>52</v>
      </c>
      <c r="B212" s="4" t="s">
        <v>51</v>
      </c>
      <c r="C212" s="5" t="s">
        <v>7</v>
      </c>
      <c r="D212" s="4">
        <v>3860</v>
      </c>
      <c r="E212" s="4" t="s">
        <v>3</v>
      </c>
      <c r="F212" s="4">
        <v>15</v>
      </c>
      <c r="G212" s="4">
        <f>(1.0641+1.4736+1.0311)/3</f>
        <v>1.1896</v>
      </c>
    </row>
    <row r="213" spans="1:7" s="4" customFormat="1" x14ac:dyDescent="0.25">
      <c r="A213" s="5">
        <v>52</v>
      </c>
      <c r="B213" s="4" t="s">
        <v>51</v>
      </c>
      <c r="C213" s="5" t="s">
        <v>7</v>
      </c>
      <c r="D213" s="4">
        <v>2190</v>
      </c>
      <c r="E213" s="4" t="s">
        <v>3</v>
      </c>
      <c r="F213" s="4">
        <v>18</v>
      </c>
      <c r="G213" s="4">
        <f>(1.9373+1.8439)/2</f>
        <v>1.8906000000000001</v>
      </c>
    </row>
    <row r="214" spans="1:7" s="4" customFormat="1" x14ac:dyDescent="0.25">
      <c r="A214" s="5">
        <v>52</v>
      </c>
      <c r="B214" s="4" t="s">
        <v>51</v>
      </c>
      <c r="C214" s="5" t="s">
        <v>7</v>
      </c>
      <c r="D214" s="4">
        <v>4050</v>
      </c>
      <c r="E214" s="4" t="s">
        <v>3</v>
      </c>
      <c r="F214" s="4">
        <v>21</v>
      </c>
      <c r="G214" s="4">
        <f>(3.0198+3.1147)/2</f>
        <v>3.06725</v>
      </c>
    </row>
    <row r="215" spans="1:7" s="4" customFormat="1" x14ac:dyDescent="0.25">
      <c r="A215" s="5">
        <v>52</v>
      </c>
      <c r="B215" s="4" t="s">
        <v>51</v>
      </c>
      <c r="C215" s="5" t="s">
        <v>7</v>
      </c>
      <c r="D215" s="4">
        <v>2650</v>
      </c>
      <c r="E215" s="4" t="s">
        <v>3</v>
      </c>
      <c r="F215" s="4">
        <v>24</v>
      </c>
      <c r="G215" s="4">
        <f>(2.5813+ 2.8498)/2</f>
        <v>2.7155500000000004</v>
      </c>
    </row>
    <row r="216" spans="1:7" s="4" customFormat="1" x14ac:dyDescent="0.25">
      <c r="A216" s="5">
        <v>53</v>
      </c>
      <c r="B216" s="4" t="s">
        <v>121</v>
      </c>
      <c r="C216" s="5" t="s">
        <v>68</v>
      </c>
      <c r="D216" s="6">
        <v>8250</v>
      </c>
      <c r="E216" s="4" t="s">
        <v>3</v>
      </c>
      <c r="F216" s="4">
        <v>22.5</v>
      </c>
      <c r="G216" s="4">
        <f>(1.8992+2.6631+2.7374+2.8011+1.931+2.0159)/6</f>
        <v>2.3412833333333336</v>
      </c>
    </row>
    <row r="217" spans="1:7" s="4" customFormat="1" x14ac:dyDescent="0.25">
      <c r="A217" s="5">
        <v>53</v>
      </c>
      <c r="B217" s="4" t="s">
        <v>121</v>
      </c>
      <c r="C217" s="5" t="s">
        <v>68</v>
      </c>
      <c r="D217" s="6">
        <v>8250</v>
      </c>
      <c r="E217" s="4" t="s">
        <v>3</v>
      </c>
      <c r="F217" s="4">
        <v>22.5</v>
      </c>
      <c r="G217" s="4">
        <f>(0.3385+0.4123)/2</f>
        <v>0.37540000000000001</v>
      </c>
    </row>
    <row r="218" spans="1:7" s="4" customFormat="1" x14ac:dyDescent="0.25">
      <c r="A218" s="5">
        <v>54</v>
      </c>
      <c r="B218" s="4" t="s">
        <v>39</v>
      </c>
      <c r="C218" s="5" t="s">
        <v>40</v>
      </c>
      <c r="D218" s="4">
        <v>41651.834730000002</v>
      </c>
      <c r="E218" s="4" t="s">
        <v>11</v>
      </c>
      <c r="F218" s="4">
        <v>15</v>
      </c>
      <c r="G218" s="4">
        <f>(0.3902+0.3428+0.2565)/3</f>
        <v>0.32983333333333337</v>
      </c>
    </row>
    <row r="219" spans="1:7" s="4" customFormat="1" x14ac:dyDescent="0.25">
      <c r="A219" s="5">
        <v>55</v>
      </c>
      <c r="B219" s="4" t="s">
        <v>41</v>
      </c>
      <c r="C219" s="5" t="s">
        <v>42</v>
      </c>
      <c r="D219" s="4">
        <v>241215</v>
      </c>
      <c r="E219" s="4" t="s">
        <v>11</v>
      </c>
      <c r="F219" s="4">
        <v>14.5</v>
      </c>
      <c r="G219" s="4">
        <v>0.43356666666666666</v>
      </c>
    </row>
    <row r="220" spans="1:7" s="4" customFormat="1" x14ac:dyDescent="0.25">
      <c r="A220" s="5">
        <v>55</v>
      </c>
      <c r="B220" s="4" t="s">
        <v>41</v>
      </c>
      <c r="C220" s="5" t="s">
        <v>42</v>
      </c>
      <c r="D220" s="4">
        <v>241215</v>
      </c>
      <c r="E220" s="4" t="s">
        <v>11</v>
      </c>
      <c r="F220" s="4">
        <v>14.5</v>
      </c>
      <c r="G220" s="4">
        <v>0.49176666666666663</v>
      </c>
    </row>
    <row r="221" spans="1:7" s="4" customFormat="1" x14ac:dyDescent="0.25">
      <c r="A221" s="5">
        <v>56</v>
      </c>
      <c r="B221" s="4" t="s">
        <v>34</v>
      </c>
      <c r="C221" s="5" t="s">
        <v>35</v>
      </c>
      <c r="D221" s="4">
        <v>5996</v>
      </c>
      <c r="E221" s="4" t="s">
        <v>11</v>
      </c>
      <c r="F221" s="4">
        <v>15</v>
      </c>
      <c r="G221" s="4">
        <f>(0.502+0.46)/2</f>
        <v>0.48099999999999998</v>
      </c>
    </row>
    <row r="222" spans="1:7" s="4" customFormat="1" x14ac:dyDescent="0.25">
      <c r="A222" s="5">
        <v>57</v>
      </c>
      <c r="B222" s="4" t="s">
        <v>44</v>
      </c>
      <c r="C222" s="5" t="s">
        <v>92</v>
      </c>
      <c r="D222" s="4">
        <v>11400</v>
      </c>
      <c r="E222" s="4" t="s">
        <v>11</v>
      </c>
      <c r="F222" s="4">
        <v>20</v>
      </c>
      <c r="G222" s="4">
        <v>0.70899999999999996</v>
      </c>
    </row>
  </sheetData>
  <autoFilter ref="B1:G222" xr:uid="{00000000-0009-0000-0000-000000000000}">
    <sortState ref="B2:G222">
      <sortCondition ref="B1:B221"/>
    </sortState>
  </autoFilter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Startklar</dc:creator>
  <cp:lastModifiedBy>Lukic, Dunja</cp:lastModifiedBy>
  <dcterms:created xsi:type="dcterms:W3CDTF">2015-06-05T18:19:34Z</dcterms:created>
  <dcterms:modified xsi:type="dcterms:W3CDTF">2022-04-11T10:51:49Z</dcterms:modified>
</cp:coreProperties>
</file>