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0844.311627321 Mckuin 4.7.19\Brandi\Pollock\"/>
    </mc:Choice>
  </mc:AlternateContent>
  <xr:revisionPtr revIDLastSave="0" documentId="13_ncr:1_{7A91E5B6-2819-4D03-A939-626F926558DE}" xr6:coauthVersionLast="44" xr6:coauthVersionMax="44" xr10:uidLastSave="{00000000-0000-0000-0000-000000000000}"/>
  <bookViews>
    <workbookView xWindow="-108" yWindow="-108" windowWidth="23256" windowHeight="12576" firstSheet="29" activeTab="33" xr2:uid="{A5F8D6FD-68A1-4167-B5E1-CA2E7C20408B}"/>
  </bookViews>
  <sheets>
    <sheet name="Wheat-mix batter_results" sheetId="84" r:id="rId1"/>
    <sheet name="Wheat-mix batter_Vazquez-Rowe" sheetId="1" r:id="rId2"/>
    <sheet name="Wheat_flour_results" sheetId="74" r:id="rId3"/>
    <sheet name="Wheat_flour_Simapro" sheetId="68" r:id="rId4"/>
    <sheet name="Wheat_starch_results" sheetId="60" r:id="rId5"/>
    <sheet name="WheatStarch_Narayanaswamy" sheetId="59" r:id="rId6"/>
    <sheet name="Salt_GREET" sheetId="85" r:id="rId7"/>
    <sheet name="SunflowerOil_Results" sheetId="32" r:id="rId8"/>
    <sheet name="SunflowerOil_inputs_Schmidt" sheetId="31" r:id="rId9"/>
    <sheet name="Tapwater_results" sheetId="23" r:id="rId10"/>
    <sheet name="Tapwater_input_output_Simapro" sheetId="22" r:id="rId11"/>
    <sheet name="Bleached kraft paper results" sheetId="3" r:id="rId12"/>
    <sheet name="Bleached kraft paper_Simapro" sheetId="2" r:id="rId13"/>
    <sheet name="Electricity US Mix_GREET" sheetId="4" r:id="rId14"/>
    <sheet name="NG_production_GREET" sheetId="61" r:id="rId15"/>
    <sheet name="Plastics_mix_GREET" sheetId="9" r:id="rId16"/>
    <sheet name="Biogas_GREET" sheetId="63" r:id="rId17"/>
    <sheet name="Steam_heat_GREET" sheetId="62" r:id="rId18"/>
    <sheet name="Sunflower_Results" sheetId="44" r:id="rId19"/>
    <sheet name="Sunflower_AtFarm_inputs_Simapro" sheetId="41" r:id="rId20"/>
    <sheet name="Hydrogen_peroxide_GREET" sheetId="28" r:id="rId21"/>
    <sheet name="Chlorine_GREET" sheetId="27" r:id="rId22"/>
    <sheet name="Charcoal_GREET" sheetId="26" r:id="rId23"/>
    <sheet name="Ozone_inputs_outputs_Simapro" sheetId="25" r:id="rId24"/>
    <sheet name="Ozone_results" sheetId="24" r:id="rId25"/>
    <sheet name="Potato starch results" sheetId="8" r:id="rId26"/>
    <sheet name="Potato starch inputs_Simapro" sheetId="7" r:id="rId27"/>
    <sheet name="Kaolin_GREET" sheetId="6" r:id="rId28"/>
    <sheet name="Sodium sulfate_GREET" sheetId="5" r:id="rId29"/>
    <sheet name="Freight_rail_GREET" sheetId="13" r:id="rId30"/>
    <sheet name="HD Truck_GREET" sheetId="12" r:id="rId31"/>
    <sheet name="Oil-fired electricity_GREET" sheetId="11" r:id="rId32"/>
    <sheet name="NG-fired electricity_GREET" sheetId="10" r:id="rId33"/>
    <sheet name="Potassium_GREET" sheetId="83" r:id="rId34"/>
    <sheet name="Nitrogen, average_GREET" sheetId="81" r:id="rId35"/>
    <sheet name="BreadWheat_results" sheetId="70" r:id="rId36"/>
    <sheet name="BreadWheat_Simapro" sheetId="69" r:id="rId37"/>
    <sheet name="Diesel building maching_GREET" sheetId="65" r:id="rId38"/>
    <sheet name="Engine Oil_GREET" sheetId="58" r:id="rId39"/>
    <sheet name="Ammonium sulfate_GREET" sheetId="56" r:id="rId40"/>
    <sheet name="Phosphoric rock_GREET" sheetId="55" r:id="rId41"/>
    <sheet name="Triple superphosphate_GREET" sheetId="54" r:id="rId42"/>
    <sheet name="Phosphoric acid_GREET" sheetId="53" r:id="rId43"/>
    <sheet name="Container ship_GREET" sheetId="46" r:id="rId44"/>
    <sheet name="Canola oil_GREET" sheetId="45" r:id="rId45"/>
    <sheet name="Grain drying_Results" sheetId="43" r:id="rId46"/>
    <sheet name="Grain drying inputs_Simapro" sheetId="42" r:id="rId47"/>
    <sheet name="Pesticides_GREET" sheetId="29" r:id="rId48"/>
    <sheet name="Potassium chloride_GREET" sheetId="21" r:id="rId49"/>
    <sheet name="Diammonium phosphate_GREET" sheetId="20" r:id="rId50"/>
    <sheet name="Ammonium nitrate_GREET" sheetId="19" r:id="rId51"/>
    <sheet name="Urea_GREET" sheetId="18" r:id="rId52"/>
    <sheet name="Ammonia production_GREET" sheetId="17" r:id="rId53"/>
    <sheet name="Potatoes at farm_results" sheetId="15" r:id="rId54"/>
    <sheet name="Potatoes at farm_inputs_Simapro" sheetId="14" r:id="rId5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84" l="1"/>
  <c r="H12" i="84"/>
  <c r="G12" i="84"/>
  <c r="F12" i="84"/>
  <c r="E12" i="84"/>
  <c r="D12" i="84"/>
  <c r="C12" i="84"/>
  <c r="H11" i="84"/>
  <c r="G11" i="84"/>
  <c r="F11" i="84"/>
  <c r="E11" i="84"/>
  <c r="D11" i="84"/>
  <c r="C11" i="84"/>
  <c r="B11" i="84"/>
  <c r="C9" i="3"/>
  <c r="B7" i="2"/>
  <c r="H10" i="84"/>
  <c r="G10" i="84"/>
  <c r="F10" i="84"/>
  <c r="E10" i="84"/>
  <c r="D10" i="84"/>
  <c r="C10" i="84"/>
  <c r="H9" i="84"/>
  <c r="G9" i="84"/>
  <c r="F9" i="84"/>
  <c r="E9" i="84"/>
  <c r="D9" i="84"/>
  <c r="B9" i="84"/>
  <c r="C9" i="84"/>
  <c r="H7" i="84"/>
  <c r="G7" i="84"/>
  <c r="F7" i="84"/>
  <c r="E7" i="84"/>
  <c r="D7" i="84"/>
  <c r="C7" i="84"/>
  <c r="B7" i="84"/>
  <c r="H6" i="84"/>
  <c r="G6" i="84"/>
  <c r="F6" i="84"/>
  <c r="E6" i="84"/>
  <c r="D6" i="84"/>
  <c r="C6" i="84"/>
  <c r="B6" i="84"/>
  <c r="H5" i="84"/>
  <c r="G5" i="84"/>
  <c r="F5" i="84"/>
  <c r="E5" i="84"/>
  <c r="D5" i="84"/>
  <c r="C5" i="84"/>
  <c r="B5" i="84"/>
  <c r="H4" i="84"/>
  <c r="G4" i="84"/>
  <c r="F4" i="84"/>
  <c r="E4" i="84"/>
  <c r="D4" i="84"/>
  <c r="C4" i="84"/>
  <c r="B4" i="84"/>
  <c r="H3" i="84"/>
  <c r="G3" i="84"/>
  <c r="F3" i="84"/>
  <c r="E3" i="84"/>
  <c r="D3" i="84"/>
  <c r="C3" i="84"/>
  <c r="B3" i="84"/>
  <c r="H11" i="15"/>
  <c r="G11" i="15"/>
  <c r="F11" i="15"/>
  <c r="E11" i="15"/>
  <c r="D11" i="15"/>
  <c r="C11" i="15"/>
  <c r="B11" i="15"/>
  <c r="H10" i="15"/>
  <c r="G10" i="15"/>
  <c r="F10" i="15"/>
  <c r="E10" i="15"/>
  <c r="D10" i="15"/>
  <c r="C10" i="15"/>
  <c r="B10" i="15"/>
  <c r="H9" i="15"/>
  <c r="G9" i="15"/>
  <c r="F9" i="15"/>
  <c r="E9" i="15"/>
  <c r="D9" i="15"/>
  <c r="C9" i="15"/>
  <c r="B9" i="15"/>
  <c r="H8" i="15"/>
  <c r="G8" i="15"/>
  <c r="F8" i="15"/>
  <c r="E8" i="15"/>
  <c r="D8" i="15"/>
  <c r="C8" i="15"/>
  <c r="B8" i="15"/>
  <c r="H7" i="15"/>
  <c r="G7" i="15"/>
  <c r="F7" i="15"/>
  <c r="E7" i="15"/>
  <c r="D7" i="15"/>
  <c r="C7" i="15"/>
  <c r="B7" i="15"/>
  <c r="H6" i="15"/>
  <c r="G6" i="15"/>
  <c r="F6" i="15"/>
  <c r="E6" i="15"/>
  <c r="D6" i="15"/>
  <c r="C6" i="15"/>
  <c r="B6" i="15"/>
  <c r="H5" i="15"/>
  <c r="G5" i="15"/>
  <c r="F5" i="15"/>
  <c r="E5" i="15"/>
  <c r="D5" i="15"/>
  <c r="C5" i="15"/>
  <c r="B5" i="15"/>
  <c r="H4" i="15"/>
  <c r="G4" i="15"/>
  <c r="F4" i="15"/>
  <c r="E4" i="15"/>
  <c r="D4" i="15"/>
  <c r="C4" i="15"/>
  <c r="B4" i="15"/>
  <c r="H12" i="15"/>
  <c r="G12" i="15"/>
  <c r="F12" i="15"/>
  <c r="C12" i="15" l="1"/>
  <c r="D12" i="15"/>
  <c r="E12" i="15"/>
  <c r="B12" i="15"/>
  <c r="H4" i="8" l="1"/>
  <c r="C4" i="8"/>
  <c r="B4" i="8"/>
  <c r="G4" i="8"/>
  <c r="E4" i="8"/>
  <c r="F4" i="8"/>
  <c r="B7" i="18"/>
  <c r="B6" i="20"/>
  <c r="B6" i="10"/>
  <c r="J3" i="43"/>
  <c r="I3" i="43"/>
  <c r="H3" i="43"/>
  <c r="G3" i="43"/>
  <c r="F3" i="43"/>
  <c r="E3" i="43"/>
  <c r="D3" i="43"/>
  <c r="J4" i="43"/>
  <c r="I4" i="43"/>
  <c r="H4" i="43"/>
  <c r="G4" i="43"/>
  <c r="F4" i="43"/>
  <c r="E4" i="43"/>
  <c r="D4" i="43"/>
  <c r="H8" i="70"/>
  <c r="G8" i="70"/>
  <c r="F8" i="70"/>
  <c r="E8" i="70"/>
  <c r="D8" i="70"/>
  <c r="C8" i="70"/>
  <c r="B8" i="70"/>
  <c r="H7" i="70"/>
  <c r="G7" i="70"/>
  <c r="F7" i="70"/>
  <c r="E7" i="70"/>
  <c r="D7" i="70"/>
  <c r="C7" i="70"/>
  <c r="B7" i="70"/>
  <c r="H6" i="70"/>
  <c r="G6" i="70"/>
  <c r="F6" i="70"/>
  <c r="E6" i="70"/>
  <c r="D6" i="70"/>
  <c r="C6" i="70"/>
  <c r="B6" i="70"/>
  <c r="H5" i="70"/>
  <c r="G5" i="70"/>
  <c r="F5" i="70"/>
  <c r="E5" i="70"/>
  <c r="D5" i="70"/>
  <c r="C5" i="70"/>
  <c r="B5" i="70"/>
  <c r="H4" i="70"/>
  <c r="G4" i="70"/>
  <c r="F4" i="70"/>
  <c r="E4" i="70"/>
  <c r="D4" i="70"/>
  <c r="C4" i="70"/>
  <c r="B4" i="70"/>
  <c r="H3" i="70"/>
  <c r="G3" i="70"/>
  <c r="F3" i="70"/>
  <c r="E3" i="70"/>
  <c r="D3" i="70"/>
  <c r="C3" i="70"/>
  <c r="B3" i="70"/>
  <c r="H5" i="8"/>
  <c r="G5" i="8"/>
  <c r="F5" i="8"/>
  <c r="E5" i="8"/>
  <c r="D5" i="8"/>
  <c r="C5" i="8"/>
  <c r="B5" i="8"/>
  <c r="D4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3" i="24"/>
  <c r="G3" i="24"/>
  <c r="G6" i="23" s="1"/>
  <c r="F3" i="24"/>
  <c r="F6" i="23" s="1"/>
  <c r="E3" i="24"/>
  <c r="E6" i="23" s="1"/>
  <c r="D3" i="24"/>
  <c r="C3" i="24"/>
  <c r="C6" i="23" s="1"/>
  <c r="B3" i="24"/>
  <c r="B6" i="23" s="1"/>
  <c r="I19" i="44"/>
  <c r="H19" i="44"/>
  <c r="G19" i="44"/>
  <c r="F19" i="44"/>
  <c r="E19" i="44"/>
  <c r="D19" i="44"/>
  <c r="C19" i="44"/>
  <c r="I18" i="44"/>
  <c r="H18" i="44"/>
  <c r="G18" i="44"/>
  <c r="F18" i="44"/>
  <c r="E18" i="44"/>
  <c r="D18" i="44"/>
  <c r="C18" i="44"/>
  <c r="I17" i="44"/>
  <c r="H17" i="44"/>
  <c r="G17" i="44"/>
  <c r="F17" i="44"/>
  <c r="E17" i="44"/>
  <c r="D17" i="44"/>
  <c r="C17" i="44"/>
  <c r="I16" i="44"/>
  <c r="H16" i="44"/>
  <c r="G16" i="44"/>
  <c r="F16" i="44"/>
  <c r="E16" i="44"/>
  <c r="D16" i="44"/>
  <c r="C16" i="44"/>
  <c r="I15" i="44"/>
  <c r="H15" i="44"/>
  <c r="G15" i="44"/>
  <c r="F15" i="44"/>
  <c r="E15" i="44"/>
  <c r="D15" i="44"/>
  <c r="C15" i="44"/>
  <c r="I13" i="44"/>
  <c r="H13" i="44"/>
  <c r="G13" i="44"/>
  <c r="F13" i="44"/>
  <c r="E13" i="44"/>
  <c r="D13" i="44"/>
  <c r="C13" i="44"/>
  <c r="I12" i="44"/>
  <c r="H12" i="44"/>
  <c r="G12" i="44"/>
  <c r="F12" i="44"/>
  <c r="E12" i="44"/>
  <c r="D12" i="44"/>
  <c r="C12" i="44"/>
  <c r="I11" i="44"/>
  <c r="H11" i="44"/>
  <c r="G11" i="44"/>
  <c r="F11" i="44"/>
  <c r="E11" i="44"/>
  <c r="D11" i="44"/>
  <c r="C11" i="44"/>
  <c r="I14" i="44"/>
  <c r="H14" i="44"/>
  <c r="G14" i="44"/>
  <c r="F14" i="44"/>
  <c r="E14" i="44"/>
  <c r="D14" i="44"/>
  <c r="C14" i="44"/>
  <c r="I9" i="44"/>
  <c r="H9" i="44"/>
  <c r="G9" i="44"/>
  <c r="F9" i="44"/>
  <c r="E9" i="44"/>
  <c r="D9" i="44"/>
  <c r="C9" i="44"/>
  <c r="I8" i="44"/>
  <c r="H8" i="44"/>
  <c r="G8" i="44"/>
  <c r="F8" i="44"/>
  <c r="E8" i="44"/>
  <c r="D8" i="44"/>
  <c r="C8" i="44"/>
  <c r="I10" i="44"/>
  <c r="H10" i="44"/>
  <c r="G10" i="44"/>
  <c r="F10" i="44"/>
  <c r="E10" i="44"/>
  <c r="D10" i="44"/>
  <c r="C10" i="44"/>
  <c r="I7" i="44"/>
  <c r="H7" i="44"/>
  <c r="G7" i="44"/>
  <c r="F7" i="44"/>
  <c r="E7" i="44"/>
  <c r="D7" i="44"/>
  <c r="C7" i="44"/>
  <c r="I5" i="44"/>
  <c r="H5" i="44"/>
  <c r="G5" i="44"/>
  <c r="F5" i="44"/>
  <c r="E5" i="44"/>
  <c r="D5" i="44"/>
  <c r="C5" i="44"/>
  <c r="I4" i="44"/>
  <c r="H4" i="44"/>
  <c r="G4" i="44"/>
  <c r="F4" i="44"/>
  <c r="E4" i="44"/>
  <c r="D4" i="44"/>
  <c r="C4" i="44"/>
  <c r="I3" i="44"/>
  <c r="H3" i="44"/>
  <c r="G3" i="44"/>
  <c r="F3" i="44"/>
  <c r="E3" i="44"/>
  <c r="D3" i="44"/>
  <c r="C3" i="44"/>
  <c r="I10" i="3"/>
  <c r="H10" i="3"/>
  <c r="G10" i="3"/>
  <c r="F10" i="3"/>
  <c r="E10" i="3"/>
  <c r="D10" i="3"/>
  <c r="C10" i="3"/>
  <c r="I9" i="3"/>
  <c r="H9" i="3"/>
  <c r="G9" i="3"/>
  <c r="F9" i="3"/>
  <c r="E9" i="3"/>
  <c r="D9" i="3"/>
  <c r="B7" i="4"/>
  <c r="I8" i="3"/>
  <c r="H8" i="3"/>
  <c r="G8" i="3"/>
  <c r="F8" i="3"/>
  <c r="E8" i="3"/>
  <c r="D8" i="3"/>
  <c r="C8" i="3"/>
  <c r="I6" i="3"/>
  <c r="H6" i="3"/>
  <c r="G6" i="3"/>
  <c r="F6" i="3"/>
  <c r="E6" i="3"/>
  <c r="D6" i="3"/>
  <c r="C6" i="3"/>
  <c r="I4" i="3"/>
  <c r="H4" i="3"/>
  <c r="G4" i="3"/>
  <c r="F4" i="3"/>
  <c r="E4" i="3"/>
  <c r="D4" i="3"/>
  <c r="C4" i="3"/>
  <c r="I3" i="3"/>
  <c r="H3" i="3"/>
  <c r="G3" i="3"/>
  <c r="F3" i="3"/>
  <c r="E3" i="3"/>
  <c r="D3" i="3"/>
  <c r="C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7" i="3"/>
  <c r="H7" i="3"/>
  <c r="G7" i="3"/>
  <c r="F7" i="3"/>
  <c r="E7" i="3"/>
  <c r="D7" i="3"/>
  <c r="C7" i="3"/>
  <c r="H9" i="23"/>
  <c r="G9" i="23"/>
  <c r="F9" i="23"/>
  <c r="E9" i="23"/>
  <c r="D9" i="23"/>
  <c r="C9" i="23"/>
  <c r="B9" i="23"/>
  <c r="H8" i="23"/>
  <c r="G8" i="23"/>
  <c r="F8" i="23"/>
  <c r="E8" i="23"/>
  <c r="D8" i="23"/>
  <c r="C8" i="23"/>
  <c r="B8" i="23"/>
  <c r="H7" i="23"/>
  <c r="G7" i="23"/>
  <c r="F7" i="23"/>
  <c r="E7" i="23"/>
  <c r="D7" i="23"/>
  <c r="C7" i="23"/>
  <c r="B7" i="23"/>
  <c r="H6" i="23"/>
  <c r="D6" i="23"/>
  <c r="H5" i="23"/>
  <c r="G5" i="23"/>
  <c r="F5" i="23"/>
  <c r="E5" i="23"/>
  <c r="D5" i="23"/>
  <c r="C5" i="23"/>
  <c r="B5" i="23"/>
  <c r="H4" i="23"/>
  <c r="G4" i="23"/>
  <c r="F4" i="23"/>
  <c r="E4" i="23"/>
  <c r="D4" i="23"/>
  <c r="C4" i="23"/>
  <c r="B4" i="23"/>
  <c r="H3" i="23"/>
  <c r="G3" i="23"/>
  <c r="F3" i="23"/>
  <c r="E3" i="23"/>
  <c r="D3" i="23"/>
  <c r="C3" i="23"/>
  <c r="B3" i="23"/>
  <c r="H5" i="32"/>
  <c r="G5" i="32"/>
  <c r="F5" i="32"/>
  <c r="E5" i="32"/>
  <c r="D5" i="32"/>
  <c r="C5" i="32"/>
  <c r="B5" i="32"/>
  <c r="H4" i="32"/>
  <c r="G4" i="32"/>
  <c r="F4" i="32"/>
  <c r="E4" i="32"/>
  <c r="D4" i="32"/>
  <c r="C4" i="32"/>
  <c r="B4" i="32"/>
  <c r="H7" i="60"/>
  <c r="G7" i="60"/>
  <c r="F7" i="60"/>
  <c r="E7" i="60"/>
  <c r="D7" i="60"/>
  <c r="C7" i="60"/>
  <c r="B7" i="60"/>
  <c r="H6" i="60"/>
  <c r="G6" i="60"/>
  <c r="D6" i="60"/>
  <c r="C6" i="60"/>
  <c r="B6" i="60"/>
  <c r="H5" i="60"/>
  <c r="G5" i="60"/>
  <c r="F5" i="60"/>
  <c r="E5" i="60"/>
  <c r="D5" i="60"/>
  <c r="C5" i="60"/>
  <c r="B5" i="60"/>
  <c r="H4" i="60"/>
  <c r="G4" i="60"/>
  <c r="F4" i="60"/>
  <c r="E4" i="60"/>
  <c r="D4" i="60"/>
  <c r="C4" i="60"/>
  <c r="B4" i="60"/>
  <c r="H6" i="74"/>
  <c r="G6" i="74"/>
  <c r="F6" i="74"/>
  <c r="E6" i="74"/>
  <c r="D6" i="74"/>
  <c r="C6" i="74"/>
  <c r="B6" i="74"/>
  <c r="H5" i="74"/>
  <c r="G5" i="74"/>
  <c r="F5" i="74"/>
  <c r="E5" i="74"/>
  <c r="D5" i="74"/>
  <c r="C5" i="74"/>
  <c r="B5" i="74"/>
  <c r="B20" i="1" l="1"/>
  <c r="B19" i="1"/>
  <c r="B18" i="1"/>
  <c r="B17" i="1"/>
  <c r="B16" i="1"/>
  <c r="B15" i="1"/>
  <c r="B14" i="1"/>
  <c r="B12" i="1"/>
  <c r="B11" i="1"/>
  <c r="E9" i="70"/>
  <c r="E3" i="74" s="1"/>
  <c r="H9" i="70"/>
  <c r="H3" i="74" s="1"/>
  <c r="G9" i="70"/>
  <c r="G3" i="74" s="1"/>
  <c r="F9" i="70"/>
  <c r="F3" i="74" s="1"/>
  <c r="D9" i="70"/>
  <c r="D3" i="74" s="1"/>
  <c r="C9" i="70"/>
  <c r="C3" i="74" s="1"/>
  <c r="B9" i="70"/>
  <c r="B3" i="74" s="1"/>
  <c r="Q22" i="65"/>
  <c r="Q21" i="65"/>
  <c r="Q20" i="65"/>
  <c r="Q19" i="65"/>
  <c r="Q18" i="65"/>
  <c r="Q17" i="65"/>
  <c r="Q14" i="65"/>
  <c r="B10" i="59"/>
  <c r="I56" i="46" l="1"/>
  <c r="H56" i="46"/>
  <c r="G56" i="46"/>
  <c r="F56" i="46"/>
  <c r="E56" i="46"/>
  <c r="D56" i="46"/>
  <c r="C56" i="46"/>
  <c r="B56" i="46"/>
  <c r="I52" i="46"/>
  <c r="F52" i="46"/>
  <c r="E52" i="46"/>
  <c r="B52" i="46"/>
  <c r="D46" i="46"/>
  <c r="H53" i="46" s="1"/>
  <c r="B46" i="46"/>
  <c r="D53" i="46" s="1"/>
  <c r="I38" i="46"/>
  <c r="H38" i="46"/>
  <c r="G38" i="46"/>
  <c r="F38" i="46"/>
  <c r="E38" i="46"/>
  <c r="D38" i="46"/>
  <c r="C38" i="46"/>
  <c r="B38" i="46"/>
  <c r="H35" i="46"/>
  <c r="G35" i="46"/>
  <c r="C35" i="46"/>
  <c r="G34" i="46"/>
  <c r="D34" i="46"/>
  <c r="C34" i="46"/>
  <c r="D28" i="46"/>
  <c r="F35" i="46" s="1"/>
  <c r="B28" i="46"/>
  <c r="F34" i="46" s="1"/>
  <c r="I20" i="46"/>
  <c r="H20" i="46"/>
  <c r="G20" i="46"/>
  <c r="F20" i="46"/>
  <c r="E20" i="46"/>
  <c r="D20" i="46"/>
  <c r="C20" i="46"/>
  <c r="I19" i="46"/>
  <c r="H19" i="46"/>
  <c r="G19" i="46"/>
  <c r="F19" i="46"/>
  <c r="E19" i="46"/>
  <c r="D19" i="46"/>
  <c r="C19" i="46"/>
  <c r="G5" i="43"/>
  <c r="F6" i="44" s="1"/>
  <c r="F20" i="44" s="1"/>
  <c r="E3" i="32" s="1"/>
  <c r="J5" i="43"/>
  <c r="I6" i="44" s="1"/>
  <c r="I20" i="44" s="1"/>
  <c r="H3" i="32" s="1"/>
  <c r="I5" i="43"/>
  <c r="H6" i="44" s="1"/>
  <c r="H20" i="44" s="1"/>
  <c r="G3" i="32" s="1"/>
  <c r="H5" i="43"/>
  <c r="G6" i="44" s="1"/>
  <c r="G20" i="44" s="1"/>
  <c r="F3" i="32" s="1"/>
  <c r="F5" i="43"/>
  <c r="E6" i="44" s="1"/>
  <c r="E20" i="44" s="1"/>
  <c r="D3" i="32" s="1"/>
  <c r="E5" i="43"/>
  <c r="D6" i="44" s="1"/>
  <c r="D20" i="44" s="1"/>
  <c r="C3" i="32" s="1"/>
  <c r="D5" i="43"/>
  <c r="C6" i="44" s="1"/>
  <c r="C20" i="44" s="1"/>
  <c r="B3" i="32" s="1"/>
  <c r="B24" i="41"/>
  <c r="F9" i="41"/>
  <c r="E53" i="46" l="1"/>
  <c r="B53" i="46"/>
  <c r="E34" i="46"/>
  <c r="I34" i="46"/>
  <c r="E35" i="46"/>
  <c r="I35" i="46"/>
  <c r="C52" i="46"/>
  <c r="G52" i="46"/>
  <c r="C53" i="46"/>
  <c r="G53" i="46"/>
  <c r="I53" i="46"/>
  <c r="H34" i="46"/>
  <c r="D35" i="46"/>
  <c r="F53" i="46"/>
  <c r="B34" i="46"/>
  <c r="B35" i="46"/>
  <c r="D52" i="46"/>
  <c r="H52" i="46"/>
  <c r="E17" i="27" l="1"/>
  <c r="E16" i="27"/>
  <c r="E15" i="27"/>
  <c r="E14" i="27"/>
  <c r="E13" i="27"/>
  <c r="E12" i="27"/>
  <c r="E11" i="27"/>
  <c r="E10" i="27"/>
  <c r="E9" i="27"/>
  <c r="E8" i="27"/>
  <c r="E7" i="27"/>
  <c r="E6" i="27"/>
  <c r="E5" i="27"/>
  <c r="E10" i="23"/>
  <c r="H10" i="23"/>
  <c r="G10" i="23"/>
  <c r="F10" i="23"/>
  <c r="D10" i="23"/>
  <c r="C10" i="23"/>
  <c r="B10" i="23"/>
  <c r="F7" i="19"/>
  <c r="E20" i="14"/>
  <c r="B20" i="14"/>
  <c r="B19" i="14"/>
  <c r="B18" i="14"/>
  <c r="B17" i="14"/>
  <c r="B16" i="14"/>
  <c r="B15" i="14"/>
  <c r="E14" i="14"/>
  <c r="B14" i="14"/>
  <c r="E13" i="14"/>
  <c r="E12" i="14"/>
  <c r="B12" i="14"/>
  <c r="E11" i="14"/>
  <c r="B11" i="14"/>
  <c r="E10" i="14"/>
  <c r="B10" i="14"/>
  <c r="E9" i="14"/>
  <c r="B9" i="14"/>
  <c r="E8" i="14"/>
  <c r="B8" i="14"/>
  <c r="E7" i="14"/>
  <c r="B7" i="14"/>
  <c r="E6" i="14"/>
  <c r="E5" i="14"/>
  <c r="E4" i="14"/>
  <c r="E21" i="14" s="1"/>
  <c r="Q21" i="13"/>
  <c r="Q20" i="13"/>
  <c r="Q19" i="13"/>
  <c r="Q18" i="13"/>
  <c r="Q17" i="13"/>
  <c r="Q16" i="13"/>
  <c r="Q15" i="13"/>
  <c r="Q13" i="13"/>
  <c r="H9" i="8"/>
  <c r="I5" i="3" s="1"/>
  <c r="I13" i="3" s="1"/>
  <c r="H8" i="84" s="1"/>
  <c r="G9" i="8"/>
  <c r="H5" i="3" s="1"/>
  <c r="H13" i="3" s="1"/>
  <c r="G8" i="84" s="1"/>
  <c r="D9" i="8"/>
  <c r="E5" i="3" s="1"/>
  <c r="E13" i="3" s="1"/>
  <c r="D8" i="84" s="1"/>
  <c r="C9" i="8"/>
  <c r="D5" i="3" s="1"/>
  <c r="D13" i="3" s="1"/>
  <c r="C8" i="84" s="1"/>
  <c r="B8" i="7"/>
  <c r="B7" i="7"/>
  <c r="B6" i="7"/>
  <c r="B12" i="2"/>
  <c r="E9" i="8" l="1"/>
  <c r="F5" i="3" s="1"/>
  <c r="F13" i="3" s="1"/>
  <c r="E8" i="84" s="1"/>
  <c r="B9" i="8"/>
  <c r="C5" i="3" s="1"/>
  <c r="C13" i="3" s="1"/>
  <c r="B8" i="84" s="1"/>
  <c r="B12" i="84" s="1"/>
  <c r="F9" i="8"/>
  <c r="G5" i="3" s="1"/>
  <c r="G13" i="3" s="1"/>
  <c r="F8" i="84" s="1"/>
  <c r="B4" i="74"/>
  <c r="B7" i="74" s="1"/>
  <c r="B3" i="60" s="1"/>
  <c r="B8" i="60" s="1"/>
  <c r="B6" i="32"/>
  <c r="B7" i="32" s="1"/>
  <c r="G6" i="32"/>
  <c r="G7" i="32" s="1"/>
  <c r="G4" i="74"/>
  <c r="G7" i="74" s="1"/>
  <c r="G3" i="60" s="1"/>
  <c r="G8" i="60" s="1"/>
  <c r="C6" i="32"/>
  <c r="C7" i="32" s="1"/>
  <c r="C4" i="74"/>
  <c r="C7" i="74" s="1"/>
  <c r="C3" i="60" s="1"/>
  <c r="C8" i="60" s="1"/>
  <c r="H4" i="74"/>
  <c r="H7" i="74" s="1"/>
  <c r="H3" i="60" s="1"/>
  <c r="H8" i="60" s="1"/>
  <c r="H6" i="32"/>
  <c r="H7" i="32" s="1"/>
  <c r="D4" i="74"/>
  <c r="D7" i="74" s="1"/>
  <c r="D3" i="60" s="1"/>
  <c r="D8" i="60" s="1"/>
  <c r="D6" i="32"/>
  <c r="D7" i="32" s="1"/>
  <c r="E6" i="32"/>
  <c r="E7" i="32" s="1"/>
  <c r="E4" i="74"/>
  <c r="E7" i="74" s="1"/>
  <c r="E3" i="60" s="1"/>
  <c r="E8" i="60" s="1"/>
  <c r="F4" i="74"/>
  <c r="F7" i="74" s="1"/>
  <c r="F3" i="60" s="1"/>
  <c r="F8" i="60" s="1"/>
  <c r="F6" i="32"/>
  <c r="F7" i="32" s="1"/>
</calcChain>
</file>

<file path=xl/sharedStrings.xml><?xml version="1.0" encoding="utf-8"?>
<sst xmlns="http://schemas.openxmlformats.org/spreadsheetml/2006/main" count="5440" uniqueCount="659">
  <si>
    <t>1 kg 'Kraft paper, bleached, at plant/RER U'</t>
  </si>
  <si>
    <t>Inputs</t>
  </si>
  <si>
    <t>Amount</t>
  </si>
  <si>
    <t>Units</t>
  </si>
  <si>
    <t>Sulfate pulp (sodium sulfate)</t>
  </si>
  <si>
    <t>kg</t>
  </si>
  <si>
    <t>Kaolin</t>
  </si>
  <si>
    <t>Potato starch</t>
  </si>
  <si>
    <t>Chemicals inorganic</t>
  </si>
  <si>
    <t>Electricity</t>
  </si>
  <si>
    <t>kWh</t>
  </si>
  <si>
    <t>Light fuel oil, burned in industrial furnace</t>
  </si>
  <si>
    <t>MJ</t>
  </si>
  <si>
    <t xml:space="preserve">Natural gas, burned in industrial furance </t>
  </si>
  <si>
    <t>Wood chips, from industry</t>
  </si>
  <si>
    <t>Transport, freight, rail/RER U</t>
  </si>
  <si>
    <t>tkm</t>
  </si>
  <si>
    <t>Transport, freight, lorry</t>
  </si>
  <si>
    <t>CO2</t>
  </si>
  <si>
    <t>CH4</t>
  </si>
  <si>
    <t>N2O</t>
  </si>
  <si>
    <t>NOx</t>
  </si>
  <si>
    <t>SOx</t>
  </si>
  <si>
    <t>BC</t>
  </si>
  <si>
    <t>OC</t>
  </si>
  <si>
    <t>Subtotals</t>
  </si>
  <si>
    <t>Resources and emissions for 1 MJ electricity (non-distributed U.S. Mix)</t>
  </si>
  <si>
    <t>Resources and emissions for 1 kWh electricity (non-distributed U.S. Mix)</t>
  </si>
  <si>
    <t>Emissions</t>
  </si>
  <si>
    <t>Well to Use</t>
  </si>
  <si>
    <t>CO2 Total</t>
  </si>
  <si>
    <t>CO2_Biogenic</t>
  </si>
  <si>
    <t>VOC</t>
  </si>
  <si>
    <t>mg</t>
  </si>
  <si>
    <t>CO</t>
  </si>
  <si>
    <t>g</t>
  </si>
  <si>
    <t>PM10</t>
  </si>
  <si>
    <t>PM2.5</t>
  </si>
  <si>
    <t>POC</t>
  </si>
  <si>
    <t>Groups</t>
  </si>
  <si>
    <t>Greenhouse Gas</t>
  </si>
  <si>
    <t>GHG-100</t>
  </si>
  <si>
    <t>Flow properties</t>
  </si>
  <si>
    <t>Biogenic carbon mass ratio</t>
  </si>
  <si>
    <t>%</t>
  </si>
  <si>
    <t>Resources</t>
  </si>
  <si>
    <t>kJ</t>
  </si>
  <si>
    <t>Water Total</t>
  </si>
  <si>
    <t>cm^3</t>
  </si>
  <si>
    <t>Water_Reservoir Evaporation</t>
  </si>
  <si>
    <t>Water_Cooling</t>
  </si>
  <si>
    <t>Water_Mining</t>
  </si>
  <si>
    <t>Water_Process</t>
  </si>
  <si>
    <t>Crude Oil</t>
  </si>
  <si>
    <t>Natural Gas</t>
  </si>
  <si>
    <t>Coal Average</t>
  </si>
  <si>
    <t>Forest Residue</t>
  </si>
  <si>
    <t>Pet Coke</t>
  </si>
  <si>
    <t>J</t>
  </si>
  <si>
    <t>Renewable (Solar, Hydro, Wind, GeoThermal)</t>
  </si>
  <si>
    <t>Uranium Ore</t>
  </si>
  <si>
    <t>Hydroelectric Power</t>
  </si>
  <si>
    <t>Nuclear Energy</t>
  </si>
  <si>
    <t>GeoThermal Power</t>
  </si>
  <si>
    <t>Solar</t>
  </si>
  <si>
    <t>Wind Power</t>
  </si>
  <si>
    <t>Bitumen</t>
  </si>
  <si>
    <t>Shale Oil (Bakken)</t>
  </si>
  <si>
    <t>Shale Oil (Eagle Ford)</t>
  </si>
  <si>
    <t>...</t>
  </si>
  <si>
    <t>Fossil Fuel</t>
  </si>
  <si>
    <t>Coal Fuel</t>
  </si>
  <si>
    <t>Natural Gas Fuel</t>
  </si>
  <si>
    <t>Non Fossil Fuel</t>
  </si>
  <si>
    <t>Nuclear</t>
  </si>
  <si>
    <t>Renewable</t>
  </si>
  <si>
    <t>Petroleum Fuel</t>
  </si>
  <si>
    <t>Biomass</t>
  </si>
  <si>
    <t>Urban Emissions</t>
  </si>
  <si>
    <t>Water</t>
  </si>
  <si>
    <t>Sodium Sulfway Production Pathway, 1kg</t>
  </si>
  <si>
    <t>Production of Kaolin, 1 kg</t>
  </si>
  <si>
    <t>Sand</t>
  </si>
  <si>
    <t>Zinc Ore</t>
  </si>
  <si>
    <t>Potato starch inputs, 1 kg inputs from Simapro</t>
  </si>
  <si>
    <t>Inventory Item</t>
  </si>
  <si>
    <t>Potatoes IP, at farm/CH U</t>
  </si>
  <si>
    <t>Tap water, at user/RER U</t>
  </si>
  <si>
    <t>Heat NG</t>
  </si>
  <si>
    <t>Transport, lorry</t>
  </si>
  <si>
    <t>Potato starch,  1 kg, inputs from Simapro--calculated in GREET</t>
  </si>
  <si>
    <t>Pollutant</t>
  </si>
  <si>
    <t>Final average plastic products, combined, 1 kg</t>
  </si>
  <si>
    <t>Resources and emissions for 1 MJ of electricity from NG-fired power generation (non-distributed)</t>
  </si>
  <si>
    <t>1 kWh</t>
  </si>
  <si>
    <t>ug</t>
  </si>
  <si>
    <t>Resources and emissions for the production of 1 MJ electricity from oil-fired power generation</t>
  </si>
  <si>
    <t>Heavy duty truck - CIDI LS Diesel</t>
  </si>
  <si>
    <t>Well to use</t>
  </si>
  <si>
    <t>kg / t-km</t>
  </si>
  <si>
    <t xml:space="preserve">Fuel consumption </t>
  </si>
  <si>
    <t>Name</t>
  </si>
  <si>
    <t>WTP</t>
  </si>
  <si>
    <t>Mode - Regular</t>
  </si>
  <si>
    <t>Non-Exhaust Emissions</t>
  </si>
  <si>
    <t>Operation Only</t>
  </si>
  <si>
    <t>WTW</t>
  </si>
  <si>
    <t>Components</t>
  </si>
  <si>
    <t>ADR</t>
  </si>
  <si>
    <t>Fluids</t>
  </si>
  <si>
    <t>Battery</t>
  </si>
  <si>
    <t>Others</t>
  </si>
  <si>
    <t>Total</t>
  </si>
  <si>
    <t>Total Energy</t>
  </si>
  <si>
    <t>40.94 kJ/(t km)</t>
  </si>
  <si>
    <t>195.12 kJ/(t km)</t>
  </si>
  <si>
    <t>236.06 kJ/(t km)</t>
  </si>
  <si>
    <t>0 J/(t km)</t>
  </si>
  <si>
    <t>234.96 kJ/(t km)</t>
  </si>
  <si>
    <t>2940.92 J/(t km)</t>
  </si>
  <si>
    <t>26.52 kJ/(t km)</t>
  </si>
  <si>
    <t>205.49 kJ/(t km)</t>
  </si>
  <si>
    <t>0.93 cm^3/(t km)</t>
  </si>
  <si>
    <t>11.88 cm^3/(t km)</t>
  </si>
  <si>
    <t>2.20 cm^3/(t km)</t>
  </si>
  <si>
    <t>1.50 mg/(t km)</t>
  </si>
  <si>
    <t>7.59 mg/(t km)</t>
  </si>
  <si>
    <t>9.09 mg/(t km)</t>
  </si>
  <si>
    <t>2.62 mg/(t km)</t>
  </si>
  <si>
    <t>25.48 mg/(t km)</t>
  </si>
  <si>
    <t>28.10 mg/(t km)</t>
  </si>
  <si>
    <t>5.82 mg/(t km)</t>
  </si>
  <si>
    <t>0.18 g/(t km)</t>
  </si>
  <si>
    <t>0.19 g/(t km)</t>
  </si>
  <si>
    <t>kg / tkm</t>
  </si>
  <si>
    <t>0.40 mg/(t km)</t>
  </si>
  <si>
    <t>5.36 mg/(t km)</t>
  </si>
  <si>
    <t>5.76 mg/(t km)</t>
  </si>
  <si>
    <t>0.32 mg/(t km)</t>
  </si>
  <si>
    <t>5.20 mg/(t km)</t>
  </si>
  <si>
    <t>5.53 mg/(t km)</t>
  </si>
  <si>
    <t>3.09 mg/(t km)</t>
  </si>
  <si>
    <t>0 kg/(t km)</t>
  </si>
  <si>
    <t>31.46 mg/(t km)</t>
  </si>
  <si>
    <t>1.26 mg/(t km)</t>
  </si>
  <si>
    <t>32.73 mg/(t km)</t>
  </si>
  <si>
    <t>2.63 g/(t km)</t>
  </si>
  <si>
    <t>14.39 g/(t km)</t>
  </si>
  <si>
    <t>17.02 g/(t km)</t>
  </si>
  <si>
    <t>46.87 ug/(t km)</t>
  </si>
  <si>
    <t>0.39 mg/(t km)</t>
  </si>
  <si>
    <t>0.44 mg/(t km)</t>
  </si>
  <si>
    <t>53.93 ug/(t km)</t>
  </si>
  <si>
    <t>97.87 ug/(t km)</t>
  </si>
  <si>
    <t>-4.89e-6 kg/(t km)</t>
  </si>
  <si>
    <t>3.59 g/(t km)</t>
  </si>
  <si>
    <t>14.60 g/(t km)</t>
  </si>
  <si>
    <t>18.19 g/(t km)</t>
  </si>
  <si>
    <t>VOC Urban</t>
  </si>
  <si>
    <t>0.56 mg/(t km)</t>
  </si>
  <si>
    <t>0.76 mg/(t km)</t>
  </si>
  <si>
    <t>1.32 mg/(t km)</t>
  </si>
  <si>
    <t>CO Urban</t>
  </si>
  <si>
    <t>0.43 mg/(t km)</t>
  </si>
  <si>
    <t>2.55 mg/(t km)</t>
  </si>
  <si>
    <t>2.98 mg/(t km)</t>
  </si>
  <si>
    <t>NOx Urban</t>
  </si>
  <si>
    <t>0.80 mg/(t km)</t>
  </si>
  <si>
    <t>18.29 mg/(t km)</t>
  </si>
  <si>
    <t>19.08 mg/(t km)</t>
  </si>
  <si>
    <t>PM10 Urban</t>
  </si>
  <si>
    <t>0.12 mg/(t km)</t>
  </si>
  <si>
    <t>0.54 mg/(t km)</t>
  </si>
  <si>
    <t>0.65 mg/(t km)</t>
  </si>
  <si>
    <t>PM2.5 Urban</t>
  </si>
  <si>
    <t>89.74 ug/(t km)</t>
  </si>
  <si>
    <t>0.52 mg/(t km)</t>
  </si>
  <si>
    <t>0.61 mg/(t km)</t>
  </si>
  <si>
    <t>SOx Urban</t>
  </si>
  <si>
    <t>0.92 mg/(t km)</t>
  </si>
  <si>
    <t>CH4 Urban</t>
  </si>
  <si>
    <t>0.71 mg/(t km)</t>
  </si>
  <si>
    <t>0.13 mg/(t km)</t>
  </si>
  <si>
    <t>0.84 mg/(t km)</t>
  </si>
  <si>
    <t>CO2 Urban</t>
  </si>
  <si>
    <t>0.99 g/(t km)</t>
  </si>
  <si>
    <t>1.44 g/(t km)</t>
  </si>
  <si>
    <t>2.43 g/(t km)</t>
  </si>
  <si>
    <t>N2O Urban</t>
  </si>
  <si>
    <t>11.22 ug/(t km)</t>
  </si>
  <si>
    <t>39.43 ug/(t km)</t>
  </si>
  <si>
    <t>50.65 ug/(t km)</t>
  </si>
  <si>
    <t>BC Urban</t>
  </si>
  <si>
    <t>11.17 ug/(t km)</t>
  </si>
  <si>
    <t>POC Urban</t>
  </si>
  <si>
    <t>16.00 ug/(t km)</t>
  </si>
  <si>
    <t>CO2_Biogenic Urban</t>
  </si>
  <si>
    <t>-1.12e-6 kg/(t km)</t>
  </si>
  <si>
    <t>Potatoes, at farm/US U, 1 kg, inputs from Simapro</t>
  </si>
  <si>
    <t>Inventory item</t>
  </si>
  <si>
    <t xml:space="preserve">Amount </t>
  </si>
  <si>
    <t>Potato planting/CH U</t>
  </si>
  <si>
    <t>ha</t>
  </si>
  <si>
    <t>Tillage, cultivating, chiselling/CH U</t>
  </si>
  <si>
    <t>Potato haulm cutting/CH U</t>
  </si>
  <si>
    <t>Tillage, arrowing, by string tine harrow/CH U</t>
  </si>
  <si>
    <t>Tillage, hoeing and earthing-up, potatoes/CH U</t>
  </si>
  <si>
    <t>Tillage, ploughing/CH U</t>
  </si>
  <si>
    <t>Application of plant protection products, by field sprayer/CH U</t>
  </si>
  <si>
    <t>Fertilising, by broadcaster/CH U</t>
  </si>
  <si>
    <t>Harvesting, by complete harvester, potatoes/CH U</t>
  </si>
  <si>
    <t>Potato grading/CH U</t>
  </si>
  <si>
    <t>Potato seed, at regional storehouse/CH U</t>
  </si>
  <si>
    <t>Ammonia, liquid, at regional storehouse/CH U</t>
  </si>
  <si>
    <t>Urea, as N, at regional storehouse/RER U</t>
  </si>
  <si>
    <t>Ammonium nitrate, as N, at regional storehouse/RER U</t>
  </si>
  <si>
    <t>Diammonium phosphate, as N, at regional storehouse/RER U</t>
  </si>
  <si>
    <t>Diammonium phosphate, as P2O5, at regional storehouse/RER U</t>
  </si>
  <si>
    <t>Potassium chloride, as K2O, at regional storehouse/RER U</t>
  </si>
  <si>
    <t>Pesticide unspecified, at regional storehouse/CH U</t>
  </si>
  <si>
    <t>subtotal</t>
  </si>
  <si>
    <t>HHD Vocational vehicles - CIDI LS Diesel</t>
  </si>
  <si>
    <t>209.87 kJ/MJ</t>
  </si>
  <si>
    <t>1000.00 kJ/MJ</t>
  </si>
  <si>
    <t>1210 kJ/MJ</t>
  </si>
  <si>
    <t>0 J/MJ</t>
  </si>
  <si>
    <t>1204 kJ/MJ</t>
  </si>
  <si>
    <t>15.08 kJ/MJ</t>
  </si>
  <si>
    <t>135.93 kJ/MJ</t>
  </si>
  <si>
    <t>1053 kJ/MJ</t>
  </si>
  <si>
    <t>4.74 cm^3/MJ</t>
  </si>
  <si>
    <t>4.76 cm^3/MJ</t>
  </si>
  <si>
    <t>60.87 cm^3/MJ</t>
  </si>
  <si>
    <t>11.28 cm^3/MJ</t>
  </si>
  <si>
    <t>7.68 mg/MJ</t>
  </si>
  <si>
    <t>3.63 mg/MJ</t>
  </si>
  <si>
    <t>11.30 mg/MJ</t>
  </si>
  <si>
    <t>13.44 mg/MJ</t>
  </si>
  <si>
    <t>48.03 mg/MJ</t>
  </si>
  <si>
    <t>61.48 mg/MJ</t>
  </si>
  <si>
    <t>29.86 mg/MJ</t>
  </si>
  <si>
    <t>43.91 mg/MJ</t>
  </si>
  <si>
    <t>73.77 mg/MJ</t>
  </si>
  <si>
    <t>kg / MJ</t>
  </si>
  <si>
    <t>2.05 mg/MJ</t>
  </si>
  <si>
    <t>1.09 mg/MJ</t>
  </si>
  <si>
    <t>3.14 mg/MJ</t>
  </si>
  <si>
    <t>1.66 mg/MJ</t>
  </si>
  <si>
    <t>1.00 mg/MJ</t>
  </si>
  <si>
    <t>2.67 mg/MJ</t>
  </si>
  <si>
    <t>15.85 mg/MJ</t>
  </si>
  <si>
    <t>0 kg/MJ</t>
  </si>
  <si>
    <t>0.16 g/MJ</t>
  </si>
  <si>
    <t>3.91 mg/MJ</t>
  </si>
  <si>
    <t>0.17 g/MJ</t>
  </si>
  <si>
    <t>13.46 g/MJ</t>
  </si>
  <si>
    <t>74.85 g/MJ</t>
  </si>
  <si>
    <t>88.30 g/MJ</t>
  </si>
  <si>
    <t>0.24 mg/MJ</t>
  </si>
  <si>
    <t>0.15 mg/MJ</t>
  </si>
  <si>
    <t>0.39 mg/MJ</t>
  </si>
  <si>
    <t>0.28 mg/MJ</t>
  </si>
  <si>
    <t>89.85 ug/MJ</t>
  </si>
  <si>
    <t>0.37 mg/MJ</t>
  </si>
  <si>
    <t>kg  /  MJ</t>
  </si>
  <si>
    <t>0.50 mg/MJ</t>
  </si>
  <si>
    <t>0.16 mg/MJ</t>
  </si>
  <si>
    <t>0.66 mg/MJ</t>
  </si>
  <si>
    <t>-2.51e-5 kg/MJ</t>
  </si>
  <si>
    <t>18.38 g/MJ</t>
  </si>
  <si>
    <t>75.09 g/MJ</t>
  </si>
  <si>
    <t>75.10 g/MJ</t>
  </si>
  <si>
    <t>93.47 g/MJ</t>
  </si>
  <si>
    <t>2.88 mg/MJ</t>
  </si>
  <si>
    <t>1.56 mg/MJ</t>
  </si>
  <si>
    <t>4.44 mg/MJ</t>
  </si>
  <si>
    <t>2.22 mg/MJ</t>
  </si>
  <si>
    <t>20.65 mg/MJ</t>
  </si>
  <si>
    <t>22.87 mg/MJ</t>
  </si>
  <si>
    <t>4.08 mg/MJ</t>
  </si>
  <si>
    <t>18.88 mg/MJ</t>
  </si>
  <si>
    <t>22.96 mg/MJ</t>
  </si>
  <si>
    <t>0.59 mg/MJ</t>
  </si>
  <si>
    <t>0.47 mg/MJ</t>
  </si>
  <si>
    <t>1.06 mg/MJ</t>
  </si>
  <si>
    <t>0.46 mg/MJ</t>
  </si>
  <si>
    <t>0.43 mg/MJ</t>
  </si>
  <si>
    <t>0.89 mg/MJ</t>
  </si>
  <si>
    <t>4.71 mg/MJ</t>
  </si>
  <si>
    <t>3.64 mg/MJ</t>
  </si>
  <si>
    <t>1.68 mg/MJ</t>
  </si>
  <si>
    <t>5.32 mg/MJ</t>
  </si>
  <si>
    <t>5.07 g/MJ</t>
  </si>
  <si>
    <t>32.18 g/MJ</t>
  </si>
  <si>
    <t>37.25 g/MJ</t>
  </si>
  <si>
    <t>57.51 ug/MJ</t>
  </si>
  <si>
    <t>63.16 ug/MJ</t>
  </si>
  <si>
    <t>0.12 mg/MJ</t>
  </si>
  <si>
    <t>57.28 ug/MJ</t>
  </si>
  <si>
    <t>38.63 ug/MJ</t>
  </si>
  <si>
    <t>95.91 ug/MJ</t>
  </si>
  <si>
    <t>82.01 ug/MJ</t>
  </si>
  <si>
    <t>67.17 ug/MJ</t>
  </si>
  <si>
    <t>-5.74e-6 kg/MJ</t>
  </si>
  <si>
    <t>BC_TBW</t>
  </si>
  <si>
    <t>POC_TBW</t>
  </si>
  <si>
    <t>PM10_TBW</t>
  </si>
  <si>
    <t>3.79 mg/MJ</t>
  </si>
  <si>
    <t>PM2.5_TBW</t>
  </si>
  <si>
    <t>0.97 mg/MJ</t>
  </si>
  <si>
    <t>VOC_evap</t>
  </si>
  <si>
    <t>1.29 mg/MJ</t>
  </si>
  <si>
    <t>BC_TBW Urban</t>
  </si>
  <si>
    <t>53.25 ug/MJ</t>
  </si>
  <si>
    <t>POC_TBW Urban</t>
  </si>
  <si>
    <t>70.62 ug/MJ</t>
  </si>
  <si>
    <t>PM10_TBW Urban</t>
  </si>
  <si>
    <t>1.63 mg/MJ</t>
  </si>
  <si>
    <t>PM2.5_TBW Urban</t>
  </si>
  <si>
    <t>0.42 mg/MJ</t>
  </si>
  <si>
    <t>VOC_evap Urban</t>
  </si>
  <si>
    <t>0.55 mg/MJ</t>
  </si>
  <si>
    <t>Ammonia production per 1 kg product</t>
  </si>
  <si>
    <t>Urea production, 1 kg</t>
  </si>
  <si>
    <t>Ammonium nitrate, 1 kg</t>
  </si>
  <si>
    <t>Diammonium phosphate, 1 kg</t>
  </si>
  <si>
    <t>Potassium chloride, 1 kg</t>
  </si>
  <si>
    <t>SimaPro 7.2</t>
  </si>
  <si>
    <t>process</t>
  </si>
  <si>
    <t>Date:</t>
  </si>
  <si>
    <t>Time:</t>
  </si>
  <si>
    <t>Process</t>
  </si>
  <si>
    <t>Category type</t>
  </si>
  <si>
    <t>material</t>
  </si>
  <si>
    <t>Process identifier</t>
  </si>
  <si>
    <t>EIN_UNIT06567702101</t>
  </si>
  <si>
    <t>Type</t>
  </si>
  <si>
    <t>Unit process</t>
  </si>
  <si>
    <t>Process name</t>
  </si>
  <si>
    <t>tap water, at user/kg/RER</t>
  </si>
  <si>
    <t>Status</t>
  </si>
  <si>
    <t>Time period</t>
  </si>
  <si>
    <t>Unspecified</t>
  </si>
  <si>
    <t>Geography</t>
  </si>
  <si>
    <t>Technology</t>
  </si>
  <si>
    <t>Representativeness</t>
  </si>
  <si>
    <t>Multiple output allocation</t>
  </si>
  <si>
    <t>Substitution allocation</t>
  </si>
  <si>
    <t>Cut off rules</t>
  </si>
  <si>
    <t>Capital goods</t>
  </si>
  <si>
    <t>Boundary with nature</t>
  </si>
  <si>
    <t>Infrastructure</t>
  </si>
  <si>
    <t>No</t>
  </si>
  <si>
    <t>Date</t>
  </si>
  <si>
    <t>Record</t>
  </si>
  <si>
    <t>Data entry by: Niels Jungbluth</t>
  </si>
  <si>
    <t>Telephone: 0041 44 940 61 32; E-mail: esu-services@ecoinvent.org; Company: ESU; Country: CH</t>
  </si>
  <si>
    <t>Generator</t>
  </si>
  <si>
    <t>Generator/publicator: Niels Jungbluth</t>
  </si>
  <si>
    <t>Literature references</t>
  </si>
  <si>
    <t>Life Cycle Inventories of Chemicals/2004/Althaus H.-J.</t>
  </si>
  <si>
    <t>Data has been published entirely in</t>
  </si>
  <si>
    <t>Copyright: true; Page: chapter water</t>
  </si>
  <si>
    <t>Collection method</t>
  </si>
  <si>
    <t>Sampling procedure: Literature.</t>
  </si>
  <si>
    <t>Data treatment</t>
  </si>
  <si>
    <t xml:space="preserve">Extrapolations: From CH and DE to RER situation. Share of resource uses (ground and surface water) estimated. </t>
  </si>
  <si>
    <t>Uncertainty adjustments: none</t>
  </si>
  <si>
    <t>Verification</t>
  </si>
  <si>
    <t>Proof reading validation: Passed</t>
  </si>
  <si>
    <t>Validator: Manuele Margni</t>
  </si>
  <si>
    <t>Telephone: 0041 21 693 3729; E-mail: epfl@ecoinvent.org; Company: EPFL; Country: CH</t>
  </si>
  <si>
    <t>Comment</t>
  </si>
  <si>
    <t>Translated name: Trinkwasser, ab Hausanschluss</t>
  </si>
  <si>
    <t>Included processes: Infrastructure and energy use for water treatment and transportation to the end user. No emissions from water treatment.</t>
  </si>
  <si>
    <t>Remark: Rough estimation investigated for CH and data for energy use in DE.; Formula: H2O; Geography: Infrastructure data for CH. Energy use in DE.</t>
  </si>
  <si>
    <t>Technology: Example of a water works in CH.</t>
  </si>
  <si>
    <t>Time period: Time of publication.</t>
  </si>
  <si>
    <t>Version: 2.2</t>
  </si>
  <si>
    <t>Energy values: Undefined</t>
  </si>
  <si>
    <t>Production volume: Not known.</t>
  </si>
  <si>
    <t>Local category: Wasserversorgung</t>
  </si>
  <si>
    <t>Local subcategory: Bereitstellung</t>
  </si>
  <si>
    <t>Source file: 02288.XML</t>
  </si>
  <si>
    <t>Allocation rules</t>
  </si>
  <si>
    <t>System description</t>
  </si>
  <si>
    <t>Ecoinvent</t>
  </si>
  <si>
    <t>Products</t>
  </si>
  <si>
    <t>not defined</t>
  </si>
  <si>
    <t>Water\Drinking water</t>
  </si>
  <si>
    <t>Europe</t>
  </si>
  <si>
    <t>Avoided products</t>
  </si>
  <si>
    <t>Water, river</t>
  </si>
  <si>
    <t>in water</t>
  </si>
  <si>
    <t>m3</t>
  </si>
  <si>
    <t>Lognormal</t>
  </si>
  <si>
    <t>(1,3,1,3,1,1); Literature</t>
  </si>
  <si>
    <t>Water, lake</t>
  </si>
  <si>
    <t>Water, well, in ground</t>
  </si>
  <si>
    <t>Materials/fuels</t>
  </si>
  <si>
    <t>Electricity, medium voltage, production UCTE, at grid/UCTE U</t>
  </si>
  <si>
    <t>Average for Germany and deviation found in CH</t>
  </si>
  <si>
    <t>Chlorine, liquid, production mix, at plant/RER U</t>
  </si>
  <si>
    <t>(2,3,1,3,1,5); Literature</t>
  </si>
  <si>
    <t>Hydrogen peroxide, 50% in H2O, at plant/RER U</t>
  </si>
  <si>
    <t>Ozone, liquid, at plant/RER U</t>
  </si>
  <si>
    <t>(2,3,1,3,1,5); Literature, approximation for WAC (aluminium polychlorid)</t>
  </si>
  <si>
    <t>Charcoal, at plant/GLO U</t>
  </si>
  <si>
    <t>Aluminium sulphate, powder, at plant/RER U</t>
  </si>
  <si>
    <t>(2,3,1,3,1,5); Average for Switzerland</t>
  </si>
  <si>
    <t>Water supply network/CH/I U</t>
  </si>
  <si>
    <t>km</t>
  </si>
  <si>
    <t>Pump station/CH/I U</t>
  </si>
  <si>
    <t>p</t>
  </si>
  <si>
    <t>Water storage/CH/I U</t>
  </si>
  <si>
    <t>Water works/CH/I U</t>
  </si>
  <si>
    <t>(4,5,na,na,na,na); Standard distance 600km</t>
  </si>
  <si>
    <t>Transport, lorry &gt;16t, fleet average/RER U</t>
  </si>
  <si>
    <t>(4,5,na,na,na,na); Standard distance 100km</t>
  </si>
  <si>
    <t>Electricity/heat</t>
  </si>
  <si>
    <t>Emissions to air</t>
  </si>
  <si>
    <t>Heat, waste</t>
  </si>
  <si>
    <t>high. pop.</t>
  </si>
  <si>
    <t>(2,3,1,1,1,5); Literature</t>
  </si>
  <si>
    <t>Emissions to water</t>
  </si>
  <si>
    <t>Aluminium</t>
  </si>
  <si>
    <t>river</t>
  </si>
  <si>
    <t>Undefined</t>
  </si>
  <si>
    <t>Chlorine</t>
  </si>
  <si>
    <t>(5,na,1,1,1,na); Estimation for chemical (Cl2) use</t>
  </si>
  <si>
    <t>Chloride</t>
  </si>
  <si>
    <t>(5,na,1,1,1,na); Estimation for chemical (WAC) use</t>
  </si>
  <si>
    <t>Emissions to soil</t>
  </si>
  <si>
    <t>Final waste flows</t>
  </si>
  <si>
    <t>Non material emissions</t>
  </si>
  <si>
    <t>Social issues</t>
  </si>
  <si>
    <t>Economic issues</t>
  </si>
  <si>
    <t>Waste to treatment</t>
  </si>
  <si>
    <t>Disposal, wood untreated, 20% water, to municipal incineration/CH U</t>
  </si>
  <si>
    <t>(2,3,1,3,1,5); charcoal disposal</t>
  </si>
  <si>
    <t>Treatment, sewage, unpolluted, to wastewater treatment, class 3/CH U</t>
  </si>
  <si>
    <t>(5,3,1,3,1,5); Internal use</t>
  </si>
  <si>
    <t>Input parameters</t>
  </si>
  <si>
    <t>Calculated parameters</t>
  </si>
  <si>
    <t>Tapwater calculations from Simapro inputs and GREET emission factors</t>
  </si>
  <si>
    <t>Inventory for 1 kg tapwater</t>
  </si>
  <si>
    <t>kg CO2</t>
  </si>
  <si>
    <t>kg CH4</t>
  </si>
  <si>
    <t>kg N2O</t>
  </si>
  <si>
    <t>kg NOx</t>
  </si>
  <si>
    <t>kg SOx</t>
  </si>
  <si>
    <t>kg BC</t>
  </si>
  <si>
    <t>kg OC</t>
  </si>
  <si>
    <t>Totals</t>
  </si>
  <si>
    <t>Ozone calculations from Simapro inputs and GREET emission factors</t>
  </si>
  <si>
    <t>Inventory for 1 ozone</t>
  </si>
  <si>
    <t>EIN_UNIT06567700306</t>
  </si>
  <si>
    <t>ozone, liquid, at plant/kg/RER</t>
  </si>
  <si>
    <t>Data entry by: Roland Hischier</t>
  </si>
  <si>
    <t>Telephone: 0041 71 274 78 47; E-mail: empa@ecoinvent.org; Company: EMPA; Country: CH</t>
  </si>
  <si>
    <t>Generator/publicator: Roland Hischier</t>
  </si>
  <si>
    <t>Life Cycle Inventories of Packaging and Graphical Paper/2007/Hischier R.</t>
  </si>
  <si>
    <t>Copyright: true</t>
  </si>
  <si>
    <t>Extrapolations: Electricity consumption represents the upper limit reported in EU-IPPC report.</t>
  </si>
  <si>
    <t>Proof reading validation: passed</t>
  </si>
  <si>
    <t>Validator: Hans-Jörg Althaus</t>
  </si>
  <si>
    <t>Telephone: 0041 44 823 44 94; E-mail: empa@ecoinvent.org; Company: EMPA; Country: CH</t>
  </si>
  <si>
    <t>Translated name: Ozon, flüssig, ab Werk</t>
  </si>
  <si>
    <t>Included processes: Energy consumption, estimation of cooling water and infrastructure. Not included is the input of 38.2 kg air (representing 8 kg of oxygen) and the output of the remaining parts of this input (as nitrogen, carbon dioxide, oxygen ....).</t>
  </si>
  <si>
    <t>Remark: The functional unit is 1 kg of liquid ozone. Large uncertainty of the process data due to weak data on the production process.</t>
  </si>
  <si>
    <t>CAS number: 010028-15-6; Formula: O3; Geography: Data used for energy are from EU-IPPC report and represent average European situation.</t>
  </si>
  <si>
    <t>Technology: Production of ozone from air in a corona discharge system.</t>
  </si>
  <si>
    <t>Production volume: unknown</t>
  </si>
  <si>
    <t>Local category: Chemikalien</t>
  </si>
  <si>
    <t>Local subcategory: Anorganika</t>
  </si>
  <si>
    <t>Source file: 00302.XML</t>
  </si>
  <si>
    <t>Chemicals\Gases</t>
  </si>
  <si>
    <t>Water, cooling, unspecified natural origin/m3</t>
  </si>
  <si>
    <t>(2,4,1,1,1,5); data from EU IPPC report &amp; 1 producer</t>
  </si>
  <si>
    <t>Chemical plant, organics/RER/I U</t>
  </si>
  <si>
    <t>(5,na,na,na,na,na); estimation</t>
  </si>
  <si>
    <t>(2,4,1,1,1,5); calculated from electricity input</t>
  </si>
  <si>
    <t>Ozone</t>
  </si>
  <si>
    <t>(5,5,na,na,na,5); estimation</t>
  </si>
  <si>
    <t>Resources and emissions for 1 kg charcoal production from wood</t>
  </si>
  <si>
    <t>Willow</t>
  </si>
  <si>
    <t>Resources and emissions for 1 kg of chlorine (production in the U.S.)</t>
  </si>
  <si>
    <t>Production of 1 ton of hydrogen peroxide</t>
  </si>
  <si>
    <t>m^3</t>
  </si>
  <si>
    <t>Insecticide production 1 kg</t>
  </si>
  <si>
    <t>Inputs and outputs of sunflower oil from Schmidt (2015)</t>
  </si>
  <si>
    <t>Outputs</t>
  </si>
  <si>
    <t>Sunflower oil</t>
  </si>
  <si>
    <t>Sunflower, at farm</t>
  </si>
  <si>
    <t>Electricity consumption</t>
  </si>
  <si>
    <t>Transport, heavy duty truck</t>
  </si>
  <si>
    <t>Fresh water to process</t>
  </si>
  <si>
    <t>Sunflower oil 1 kg inputs from Schmidt (2015) calculated with emission factors from GREET</t>
  </si>
  <si>
    <t>Inventory Items</t>
  </si>
  <si>
    <t>Sunflower IP, at farm/CH U' 1 kg inputs from Simapro</t>
  </si>
  <si>
    <t>Input</t>
  </si>
  <si>
    <t>Diesel, tractor inputs</t>
  </si>
  <si>
    <t>Tillage, harrowing, by spring tine harrow/CH U</t>
  </si>
  <si>
    <t>Tillage, harrowing, by spring time harrow/CH U</t>
  </si>
  <si>
    <t>Tillage, plowing/CH U</t>
  </si>
  <si>
    <t>Tillage, ploughling/CH U</t>
  </si>
  <si>
    <t>Fertlizing, by broadcaster/CH U</t>
  </si>
  <si>
    <t>Combine harvesting/CH U</t>
  </si>
  <si>
    <t>Application of plant protection products, field sprayer / CH U</t>
  </si>
  <si>
    <t>Sowing/CH U</t>
  </si>
  <si>
    <t>Transport, tractor and trailer/CH U</t>
  </si>
  <si>
    <t>Total, tractor</t>
  </si>
  <si>
    <t>Rape seed IP, at regional storehouse/RER U</t>
  </si>
  <si>
    <t>Grain drying</t>
  </si>
  <si>
    <t>Ammonium Nitrate as N, at regional storehouse/RER U</t>
  </si>
  <si>
    <t>Urea as N, at regional storehouse/RERE U</t>
  </si>
  <si>
    <t>Calcium ammonium nitrate, as N, at regional storehouse/RER U</t>
  </si>
  <si>
    <t>Ammonium sulphate, as N, at regional storehouse/RER U</t>
  </si>
  <si>
    <t>Triple superphosphate, as P2O5, at regional storehouse/RER U</t>
  </si>
  <si>
    <t>Single superphosphate, as P2O5, at regional storehouse/RER U</t>
  </si>
  <si>
    <t>Phosphate rock, P2O5, at plant/MA U</t>
  </si>
  <si>
    <t>Thomas meal, as P2O5, at regional storehouse/RER U</t>
  </si>
  <si>
    <t>Potassium chloride,as K2O,at regional storehouse/RER U</t>
  </si>
  <si>
    <t>Potassium sulphate,as K2O,at regional storehouse/RER U</t>
  </si>
  <si>
    <t>Transport, transoceanic freight</t>
  </si>
  <si>
    <t>Grain drying, low temperature/CH U' 1 kg from Simapro</t>
  </si>
  <si>
    <t>Description</t>
  </si>
  <si>
    <t>Grain drying, low temperature/CH U' 1 kg inputs from Simapro calculated with emission factors from GREET</t>
  </si>
  <si>
    <t>Emissions in kg</t>
  </si>
  <si>
    <t>Sunflower IP, at farm/CH U' 1 kg inputs from Simapro--calculated with GREET</t>
  </si>
  <si>
    <t>Input description</t>
  </si>
  <si>
    <t>Diesel for traction</t>
  </si>
  <si>
    <t>Heavy-duty truck</t>
  </si>
  <si>
    <t>Rape seed</t>
  </si>
  <si>
    <t>Heat for grain drying</t>
  </si>
  <si>
    <t>Canola for biodiesel plant, 1 kg</t>
  </si>
  <si>
    <t>Canola</t>
  </si>
  <si>
    <t>Container Ship Emission Factors</t>
  </si>
  <si>
    <t>Heavy fuel oil (HFO)</t>
  </si>
  <si>
    <t>Sulfur level (% wt.)</t>
  </si>
  <si>
    <t>Trip segment</t>
  </si>
  <si>
    <t>Fuel consumption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</si>
  <si>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</si>
  <si>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</si>
  <si>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</si>
  <si>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(kg pollutant metric ton-km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</si>
  <si>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Reduced speed zone</t>
  </si>
  <si>
    <t>Cruise</t>
  </si>
  <si>
    <t>(kg pollutant hour-1)</t>
  </si>
  <si>
    <t>Hotel</t>
  </si>
  <si>
    <t>Marine gas oil (MGO)</t>
  </si>
  <si>
    <t>Payload (tons)</t>
  </si>
  <si>
    <t>SFOC (g/kWh)</t>
  </si>
  <si>
    <t>Maine engine (kW)</t>
  </si>
  <si>
    <t>Auxi engine (kW)</t>
  </si>
  <si>
    <t>Cruise time (hours)</t>
  </si>
  <si>
    <t>RSZ time (hours)</t>
  </si>
  <si>
    <t>Cruise distance (km)</t>
  </si>
  <si>
    <t>RSZ distance (km)</t>
  </si>
  <si>
    <t>Cruis maine engine LF</t>
  </si>
  <si>
    <t>RSZ main engine, LF</t>
  </si>
  <si>
    <t>Cruise aux engine LF</t>
  </si>
  <si>
    <t>RSZ aux engine, LF</t>
  </si>
  <si>
    <t>Bunker fuel, fuel sulfur 2.4%</t>
  </si>
  <si>
    <t>Trip Segment</t>
  </si>
  <si>
    <r>
      <t>(kg fuel metric ton-km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</si>
  <si>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Reduced Speed Zone</t>
  </si>
  <si>
    <r>
      <t>(kg fuel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</si>
  <si>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Phosphate (P2O5) from MAP and DAP, 1 kg Phosphoric acid P2O5</t>
  </si>
  <si>
    <t>Triple super phosphate, 1 kg</t>
  </si>
  <si>
    <t>Phosphoric rock, 1 kg</t>
  </si>
  <si>
    <t>Ammonium sulfate pathway, 1 kg</t>
  </si>
  <si>
    <t>Resources and emissions of 1 kg of Engine Oil</t>
  </si>
  <si>
    <t>Inputs and outputs of wheat starch from Narayanaswamy et al. (2003)</t>
  </si>
  <si>
    <t>Wheat starch</t>
  </si>
  <si>
    <t>Wheat flour</t>
  </si>
  <si>
    <t>Natural gas</t>
  </si>
  <si>
    <t>Biogas from the effluent treatment plant</t>
  </si>
  <si>
    <t>L</t>
  </si>
  <si>
    <t>Steam heat</t>
  </si>
  <si>
    <t>Calculation of 1 kg wheat starch results from inputs from Narayanaswamy et al. (2003) and emission factors from GREET</t>
  </si>
  <si>
    <t>Inventory items</t>
  </si>
  <si>
    <t>Resources and emissions for 1 MJ NG production from conventional pathways</t>
  </si>
  <si>
    <t>1 MJ Steam heat; mix: natural gas and still gas</t>
  </si>
  <si>
    <t>Wastewater sludge to CNG, on-site refueling 1 L</t>
  </si>
  <si>
    <t>NO2</t>
  </si>
  <si>
    <t>SO2</t>
  </si>
  <si>
    <t>H2</t>
  </si>
  <si>
    <t>Renewable Natural Gas</t>
  </si>
  <si>
    <t>LCA-Food06593700105</t>
  </si>
  <si>
    <t>Flour, wheat, conventional</t>
  </si>
  <si>
    <t>Anne Merete Nielsen, 2.-0 LCA consultants</t>
  </si>
  <si>
    <t>Charlotte Feldvoss, Cerealia Mills</t>
  </si>
  <si>
    <t>Aflæst i miljøregnskab af Charlotte Feldvoss.</t>
  </si>
  <si>
    <t>Read meta-data at http://www.lcafood.dk/</t>
  </si>
  <si>
    <t>Food\Industry\Bakery and mill</t>
  </si>
  <si>
    <t>Bread wheat, from farm</t>
  </si>
  <si>
    <t>Truck 28t</t>
  </si>
  <si>
    <t>Water (tap)</t>
  </si>
  <si>
    <t>l</t>
  </si>
  <si>
    <t>Chemicals organic</t>
  </si>
  <si>
    <t>Electricity (natural gas)</t>
  </si>
  <si>
    <t>Heat (gas)</t>
  </si>
  <si>
    <t>Animal feed production (low protein)</t>
  </si>
  <si>
    <t>LCA-Food06593700106</t>
  </si>
  <si>
    <t>Bread wheat.</t>
  </si>
  <si>
    <t>Randi Dalgaard, Danish Institute of Agricultural Sciences</t>
  </si>
  <si>
    <t>Randi Dalgaard &amp; Niels Halberg. DIAS. http://web.agrsci.dk/jbs/bepro/index_uk.shtml</t>
  </si>
  <si>
    <t>Marginal production (weighted average of the marginal production at 28 farm types)</t>
  </si>
  <si>
    <t>Agricultural\Plant production</t>
  </si>
  <si>
    <t>Occupation, arable</t>
  </si>
  <si>
    <t>land</t>
  </si>
  <si>
    <t>ha a</t>
  </si>
  <si>
    <t>Fertiliser (N)</t>
  </si>
  <si>
    <t>Measured as nitrogen</t>
  </si>
  <si>
    <t>Fertiliser (P)</t>
  </si>
  <si>
    <t>Measured as phosphorus</t>
  </si>
  <si>
    <t>Fertiliser (K)</t>
  </si>
  <si>
    <t>Measured as potassium</t>
  </si>
  <si>
    <t>Lubricant oil (1)</t>
  </si>
  <si>
    <t>Traction</t>
  </si>
  <si>
    <t>Ammonia</t>
  </si>
  <si>
    <t>Dinitrogen monoxide</t>
  </si>
  <si>
    <t>Nitrate</t>
  </si>
  <si>
    <t>Uniform</t>
  </si>
  <si>
    <t>High value represents potential long-term leaching. Low value represents short-term leaching after modelling soil nutrient incorporation</t>
  </si>
  <si>
    <t>Phosphate</t>
  </si>
  <si>
    <t>High value represents P surplus (farm gate balance).  Low value represents short-term leaching and particle bound losses based on national statistics  and scaled by farm gate balance</t>
  </si>
  <si>
    <t>Breadwheat results calculated from inputs from Simapro calculated with Efs from GREET</t>
  </si>
  <si>
    <t>1 kg inventory</t>
  </si>
  <si>
    <t>Nitrogen, average</t>
  </si>
  <si>
    <t>Phosphoric acid</t>
  </si>
  <si>
    <t>Potassium</t>
  </si>
  <si>
    <t>Lubricant oil</t>
  </si>
  <si>
    <t>NG, electricity</t>
  </si>
  <si>
    <t>Calculated 1 kg wheat flour from inputs from Simapro and EFs from GREET</t>
  </si>
  <si>
    <t>Bread, wheat from farm</t>
  </si>
  <si>
    <t>Water, tap</t>
  </si>
  <si>
    <t>Chemicals, organic</t>
  </si>
  <si>
    <t>Nitrogen Average, 1kg of nitrogen</t>
  </si>
  <si>
    <t>Potassium oxide production, 1 kg</t>
  </si>
  <si>
    <t>Raw materials</t>
  </si>
  <si>
    <t>Salt</t>
  </si>
  <si>
    <t>Materials</t>
  </si>
  <si>
    <t>Kraft bags</t>
  </si>
  <si>
    <t>Energy</t>
  </si>
  <si>
    <t>Transport</t>
  </si>
  <si>
    <t>Vitamins A &amp; C</t>
  </si>
  <si>
    <t>pH regulators</t>
  </si>
  <si>
    <t>Wheat mix transport</t>
  </si>
  <si>
    <t>Inventory 1 kg</t>
  </si>
  <si>
    <t>Sodium chloride, 1 kg from GREET</t>
  </si>
  <si>
    <t>ng</t>
  </si>
  <si>
    <t>1 kg inventory item</t>
  </si>
  <si>
    <t>Wheat mix for batter</t>
  </si>
  <si>
    <t>Potatoes, at farm/US U, 1 kg calculated with inputs from Simapro and emission factors from GREET</t>
  </si>
  <si>
    <t>Inputs and outputs of wheat starch from Vazquez-Rowe et al. (2013)</t>
  </si>
  <si>
    <t>Emission factors for 1kg Wheat mix (batter) calculated with inputs from Vazquez-Rowe et al. (2013) and emission factors from GREET</t>
  </si>
  <si>
    <t>Emission factors for 1 kg 'Kraft paper, bleached, at plant/RER U' calculated with inputs from Simapro and emission factors from GREET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</si>
</sst>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1" fontId="0" fillId="0" borderId="0" xfId="0" applyNumberFormat="1"/>
    <xf numFmtId="14" fontId="0" fillId="0" borderId="0" xfId="0" applyNumberFormat="1"/>
    <xf numFmtId="19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B51F-B704-446C-8816-CC1F332CC665}">
  <dimension ref="A1:H13"/>
  <sheetViews>
    <sheetView workbookViewId="0">
      <selection activeCell="D18" sqref="D18"/>
    </sheetView>
  </sheetViews>
  <sheetFormatPr defaultRowHeight="14.4" x14ac:dyDescent="0.3"/>
  <cols>
    <col min="1" max="1" width="19.77734375" customWidth="1"/>
    <col min="2" max="8" width="12" bestFit="1" customWidth="1"/>
  </cols>
  <sheetData>
    <row r="1" spans="1:8" x14ac:dyDescent="0.3">
      <c r="A1" t="s">
        <v>657</v>
      </c>
    </row>
    <row r="2" spans="1:8" x14ac:dyDescent="0.3">
      <c r="A2" s="11" t="s">
        <v>650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s="11" t="s">
        <v>575</v>
      </c>
      <c r="B3" s="2">
        <f>'Wheat-mix batter_Vazquez-Rowe'!$B$3/'Wheat-mix batter_Vazquez-Rowe'!$B$22*Wheat_flour_results!B7</f>
        <v>0.15183635130002016</v>
      </c>
      <c r="C3" s="2">
        <f>'Wheat-mix batter_Vazquez-Rowe'!$B$3/'Wheat-mix batter_Vazquez-Rowe'!$B$22*Wheat_flour_results!C7</f>
        <v>4.349983601235869E-4</v>
      </c>
      <c r="D3" s="2">
        <f>'Wheat-mix batter_Vazquez-Rowe'!$B$3/'Wheat-mix batter_Vazquez-Rowe'!$B$22*Wheat_flour_results!D7</f>
        <v>5.6855830590206202E-5</v>
      </c>
      <c r="E3" s="2">
        <f>'Wheat-mix batter_Vazquez-Rowe'!$B$3/'Wheat-mix batter_Vazquez-Rowe'!$B$22*Wheat_flour_results!E7</f>
        <v>2.8896234825637581E-4</v>
      </c>
      <c r="F3" s="2">
        <f>'Wheat-mix batter_Vazquez-Rowe'!$B$3/'Wheat-mix batter_Vazquez-Rowe'!$B$22*Wheat_flour_results!F7</f>
        <v>7.0886416653575418E-4</v>
      </c>
      <c r="G3" s="2">
        <f>'Wheat-mix batter_Vazquez-Rowe'!$B$3/'Wheat-mix batter_Vazquez-Rowe'!$B$22*Wheat_flour_results!G7</f>
        <v>2.1656207246285534E-6</v>
      </c>
      <c r="H3" s="2">
        <f>'Wheat-mix batter_Vazquez-Rowe'!$B$3/'Wheat-mix batter_Vazquez-Rowe'!$B$22*Wheat_flour_results!H7</f>
        <v>5.2377270787168482E-6</v>
      </c>
    </row>
    <row r="4" spans="1:8" x14ac:dyDescent="0.3">
      <c r="A4" s="11" t="s">
        <v>574</v>
      </c>
      <c r="B4" s="2">
        <f>'Wheat-mix batter_Vazquez-Rowe'!$B$4/'Wheat-mix batter_Vazquez-Rowe'!$B$22*Wheat_starch_results!B8</f>
        <v>6.9548904277154655E-2</v>
      </c>
      <c r="C4" s="2">
        <f>'Wheat-mix batter_Vazquez-Rowe'!$B$4/'Wheat-mix batter_Vazquez-Rowe'!$B$22*Wheat_starch_results!C8</f>
        <v>2.4160302355677975E-4</v>
      </c>
      <c r="D4" s="2">
        <f>'Wheat-mix batter_Vazquez-Rowe'!$B$4/'Wheat-mix batter_Vazquez-Rowe'!$B$22*Wheat_starch_results!D8</f>
        <v>6.732916450594217E-6</v>
      </c>
      <c r="E4" s="2">
        <f>'Wheat-mix batter_Vazquez-Rowe'!$B$4/'Wheat-mix batter_Vazquez-Rowe'!$B$22*Wheat_starch_results!E8</f>
        <v>1.091511348872014E-4</v>
      </c>
      <c r="F4" s="2">
        <f>'Wheat-mix batter_Vazquez-Rowe'!$B$4/'Wheat-mix batter_Vazquez-Rowe'!$B$22*Wheat_starch_results!F8</f>
        <v>1.2407661972102608E-4</v>
      </c>
      <c r="G4" s="2">
        <f>'Wheat-mix batter_Vazquez-Rowe'!$B$4/'Wheat-mix batter_Vazquez-Rowe'!$B$22*Wheat_starch_results!G8</f>
        <v>9.0135688239273385E-7</v>
      </c>
      <c r="H4" s="2">
        <f>'Wheat-mix batter_Vazquez-Rowe'!$B$4/'Wheat-mix batter_Vazquez-Rowe'!$B$22*Wheat_starch_results!H8</f>
        <v>2.0312128313437122E-6</v>
      </c>
    </row>
    <row r="5" spans="1:8" x14ac:dyDescent="0.3">
      <c r="A5" s="11" t="s">
        <v>642</v>
      </c>
      <c r="B5" s="2">
        <f>'Wheat-mix batter_Vazquez-Rowe'!B5/'Wheat-mix batter_Vazquez-Rowe'!B22*Salt_GREET!B5</f>
        <v>1.1989295272078501E-2</v>
      </c>
      <c r="C5" s="2">
        <f>'Wheat-mix batter_Vazquez-Rowe'!B5/'Wheat-mix batter_Vazquez-Rowe'!B22*Salt_GREET!B14*10^-3</f>
        <v>3.097234611953613E-5</v>
      </c>
      <c r="D5" s="2">
        <f>'Wheat-mix batter_Vazquez-Rowe'!B5/'Wheat-mix batter_Vazquez-Rowe'!B22*Salt_GREET!B15*10^-6</f>
        <v>2.3978590544157E-7</v>
      </c>
      <c r="E5" s="2">
        <f>'Wheat-mix batter_Vazquez-Rowe'!B5/'Wheat-mix batter_Vazquez-Rowe'!B22*Salt_GREET!B10*10^-3</f>
        <v>6.4942016057091884E-5</v>
      </c>
      <c r="F5" s="2">
        <f>'Wheat-mix batter_Vazquez-Rowe'!B5/'Wheat-mix batter_Vazquez-Rowe'!B22*Salt_GREET!B13*10^-3</f>
        <v>3.9464763603925073E-5</v>
      </c>
      <c r="G5" s="2">
        <f>'Wheat-mix batter_Vazquez-Rowe'!B5/'Wheat-mix batter_Vazquez-Rowe'!B22*Salt_GREET!B17*10^-6</f>
        <v>6.7689562890276544E-7</v>
      </c>
      <c r="H5" s="2">
        <f>'Wheat-mix batter_Vazquez-Rowe'!B5/'Wheat-mix batter_Vazquez-Rowe'!B22*Salt_GREET!B18*10^-6</f>
        <v>1.6090633363068688E-6</v>
      </c>
    </row>
    <row r="6" spans="1:8" x14ac:dyDescent="0.3">
      <c r="A6" s="11" t="s">
        <v>492</v>
      </c>
      <c r="B6" s="2">
        <f>'Wheat-mix batter_Vazquez-Rowe'!$B$6/'Wheat-mix batter_Vazquez-Rowe'!$B$22*SunflowerOil_Results!B7</f>
        <v>2.4641387638504403E-2</v>
      </c>
      <c r="C6" s="2">
        <f>'Wheat-mix batter_Vazquez-Rowe'!$B$6/'Wheat-mix batter_Vazquez-Rowe'!$B$22*SunflowerOil_Results!C7</f>
        <v>5.2318647795613527E-5</v>
      </c>
      <c r="D6" s="2">
        <f>'Wheat-mix batter_Vazquez-Rowe'!$B$6/'Wheat-mix batter_Vazquez-Rowe'!$B$22*SunflowerOil_Results!D7</f>
        <v>2.5524391062789852E-6</v>
      </c>
      <c r="E6" s="2">
        <f>'Wheat-mix batter_Vazquez-Rowe'!$B$6/'Wheat-mix batter_Vazquez-Rowe'!$B$22*SunflowerOil_Results!E7</f>
        <v>2.6105639619580931E-5</v>
      </c>
      <c r="F6" s="2">
        <f>'Wheat-mix batter_Vazquez-Rowe'!$B$6/'Wheat-mix batter_Vazquez-Rowe'!$B$22*SunflowerOil_Results!F7</f>
        <v>4.1430533551743065E-5</v>
      </c>
      <c r="G6" s="2">
        <f>'Wheat-mix batter_Vazquez-Rowe'!$B$6/'Wheat-mix batter_Vazquez-Rowe'!$B$22*SunflowerOil_Results!G7</f>
        <v>1.6229080395835542E-7</v>
      </c>
      <c r="H6" s="2">
        <f>'Wheat-mix batter_Vazquez-Rowe'!$B$6/'Wheat-mix batter_Vazquez-Rowe'!$B$22*SunflowerOil_Results!H7</f>
        <v>3.5553341404357392E-7</v>
      </c>
    </row>
    <row r="7" spans="1:8" x14ac:dyDescent="0.3">
      <c r="A7" s="11" t="s">
        <v>79</v>
      </c>
      <c r="B7" s="2">
        <f>'Wheat-mix batter_Vazquez-Rowe'!$B$7/'Wheat-mix batter_Vazquez-Rowe'!$B$22*Tapwater_results!B10</f>
        <v>3.7987492970579397E-5</v>
      </c>
      <c r="C7" s="2">
        <f>'Wheat-mix batter_Vazquez-Rowe'!$B$7/'Wheat-mix batter_Vazquez-Rowe'!$B$22*Tapwater_results!C10</f>
        <v>7.268154741916234E-8</v>
      </c>
      <c r="D7" s="2">
        <f>'Wheat-mix batter_Vazquez-Rowe'!$B$7/'Wheat-mix batter_Vazquez-Rowe'!$B$22*Tapwater_results!D10</f>
        <v>6.3450850000756059E-10</v>
      </c>
      <c r="E7" s="2">
        <f>'Wheat-mix batter_Vazquez-Rowe'!$B$7/'Wheat-mix batter_Vazquez-Rowe'!$B$22*Tapwater_results!E10</f>
        <v>2.7201320863603475E-8</v>
      </c>
      <c r="F7" s="2">
        <f>'Wheat-mix batter_Vazquez-Rowe'!$B$7/'Wheat-mix batter_Vazquez-Rowe'!$B$22*Tapwater_results!F10</f>
        <v>6.9682400835717973E-8</v>
      </c>
      <c r="G7" s="2">
        <f>'Wheat-mix batter_Vazquez-Rowe'!$B$7/'Wheat-mix batter_Vazquez-Rowe'!$B$22*Tapwater_results!G10</f>
        <v>1.7670397452502891E-10</v>
      </c>
      <c r="H7" s="2">
        <f>'Wheat-mix batter_Vazquez-Rowe'!$B$7/'Wheat-mix batter_Vazquez-Rowe'!$B$22*Tapwater_results!H10</f>
        <v>3.9077020927347009E-10</v>
      </c>
    </row>
    <row r="8" spans="1:8" x14ac:dyDescent="0.3">
      <c r="A8" s="11" t="s">
        <v>644</v>
      </c>
      <c r="B8" s="2">
        <f>'Wheat-mix batter_Vazquez-Rowe'!$B$9/'Wheat-mix batter_Vazquez-Rowe'!$B$22*'Bleached kraft paper results'!C13</f>
        <v>1.5455316998429601E-2</v>
      </c>
      <c r="C8" s="2">
        <f>'Wheat-mix batter_Vazquez-Rowe'!$B$9/'Wheat-mix batter_Vazquez-Rowe'!$B$22*'Bleached kraft paper results'!D13</f>
        <v>3.5888187487910416E-5</v>
      </c>
      <c r="D8" s="2">
        <f>'Wheat-mix batter_Vazquez-Rowe'!$B$9/'Wheat-mix batter_Vazquez-Rowe'!$B$22*'Bleached kraft paper results'!E13</f>
        <v>4.5429720549940307E-7</v>
      </c>
      <c r="E8" s="2">
        <f>'Wheat-mix batter_Vazquez-Rowe'!$B$9/'Wheat-mix batter_Vazquez-Rowe'!$B$22*'Bleached kraft paper results'!F13</f>
        <v>3.2910716460521405E-5</v>
      </c>
      <c r="F8" s="2">
        <f>'Wheat-mix batter_Vazquez-Rowe'!$B$9/'Wheat-mix batter_Vazquez-Rowe'!$B$22*'Bleached kraft paper results'!G13</f>
        <v>1.0989346134441547E-4</v>
      </c>
      <c r="G8" s="2">
        <f>'Wheat-mix batter_Vazquez-Rowe'!$B$9/'Wheat-mix batter_Vazquez-Rowe'!$B$22*'Bleached kraft paper results'!H13</f>
        <v>1.2510277503742321E-6</v>
      </c>
      <c r="H8" s="2">
        <f>'Wheat-mix batter_Vazquez-Rowe'!$B$9/'Wheat-mix batter_Vazquez-Rowe'!$B$22*'Bleached kraft paper results'!I13</f>
        <v>7.4914186382151955E-7</v>
      </c>
    </row>
    <row r="9" spans="1:8" x14ac:dyDescent="0.3">
      <c r="A9" s="11" t="s">
        <v>9</v>
      </c>
      <c r="B9" s="2">
        <f>'Wheat-mix batter_Vazquez-Rowe'!$B$11/'Wheat-mix batter_Vazquez-Rowe'!$B$22*'Electricity US Mix_GREET'!H5*10^3</f>
        <v>4.8907225691347013E-2</v>
      </c>
      <c r="C9" s="2">
        <f>'Wheat-mix batter_Vazquez-Rowe'!$B$11/'Wheat-mix batter_Vazquez-Rowe'!$B$22*'Electricity US Mix_GREET'!H14*10^3*10^-3</f>
        <v>9.3978590544157006E-5</v>
      </c>
      <c r="D9" s="2">
        <f>'Wheat-mix batter_Vazquez-Rowe'!$B$11/'Wheat-mix batter_Vazquez-Rowe'!$B$22*'Electricity US Mix_GREET'!H15*10^3*10^-6</f>
        <v>7.7100802854594091E-7</v>
      </c>
      <c r="E9" s="2">
        <f>'Wheat-mix batter_Vazquez-Rowe'!$B$11/'Wheat-mix batter_Vazquez-Rowe'!$B$22*'Electricity US Mix_GREET'!H10*10^3*10^-3</f>
        <v>3.4522747546833184E-5</v>
      </c>
      <c r="F9" s="2">
        <f>'Wheat-mix batter_Vazquez-Rowe'!$B$11/'Wheat-mix batter_Vazquez-Rowe'!$B$22*'Electricity US Mix_GREET'!H13*10^3*10^-3</f>
        <v>9.0142729705619976E-5</v>
      </c>
      <c r="G9" s="2">
        <f>'Wheat-mix batter_Vazquez-Rowe'!$B$11/'Wheat-mix batter_Vazquez-Rowe'!$B$22*'Electricity US Mix_GREET'!H16*10^3*10^-6</f>
        <v>2.1864406779661012E-7</v>
      </c>
      <c r="H9" s="2">
        <f>'Wheat-mix batter_Vazquez-Rowe'!$B$11/'Wheat-mix batter_Vazquez-Rowe'!$B$22*'Electricity US Mix_GREET'!H17*10^3*10^-6</f>
        <v>5.0057983942908111E-7</v>
      </c>
    </row>
    <row r="10" spans="1:8" x14ac:dyDescent="0.3">
      <c r="A10" s="11" t="s">
        <v>576</v>
      </c>
      <c r="B10" s="2">
        <f>'Wheat-mix batter_Vazquez-Rowe'!$B$12/'Wheat-mix batter_Vazquez-Rowe'!$B$22*Steam_heat_GREET!B5*10^-3</f>
        <v>3.1376784121320248E-5</v>
      </c>
      <c r="C10" s="2">
        <f>'Wheat-mix batter_Vazquez-Rowe'!$B$12/'Wheat-mix batter_Vazquez-Rowe'!$B$22*Steam_heat_GREET!B14*10^-3</f>
        <v>1.0425512934879571E-7</v>
      </c>
      <c r="D10" s="2">
        <f>'Wheat-mix batter_Vazquez-Rowe'!$B$12/'Wheat-mix batter_Vazquez-Rowe'!$B$22*Steam_heat_GREET!B15*10^-6</f>
        <v>8.4206066012488838E-10</v>
      </c>
      <c r="E10" s="2">
        <f>'Wheat-mix batter_Vazquez-Rowe'!$B$12/'Wheat-mix batter_Vazquez-Rowe'!$B$22*Steam_heat_GREET!B13*10^-6</f>
        <v>5.6658652988403202E-9</v>
      </c>
      <c r="F10" s="2">
        <f>'Wheat-mix batter_Vazquez-Rowe'!$B$12/'Wheat-mix batter_Vazquez-Rowe'!$B$22*Steam_heat_GREET!B13*10^-3</f>
        <v>5.6658652988403206E-6</v>
      </c>
      <c r="G10" s="2">
        <f>'Wheat-mix batter_Vazquez-Rowe'!$B$12/'Wheat-mix batter_Vazquez-Rowe'!$B$22*Steam_heat_GREET!B16*10^-3</f>
        <v>3.4885370205173951E-7</v>
      </c>
      <c r="H10" s="2">
        <f>'Wheat-mix batter_Vazquez-Rowe'!$B$12/'Wheat-mix batter_Vazquez-Rowe'!$B$22*Steam_heat_GREET!B17*10^-3</f>
        <v>7.8592328278322916E-7</v>
      </c>
    </row>
    <row r="11" spans="1:8" x14ac:dyDescent="0.3">
      <c r="A11" s="11" t="s">
        <v>89</v>
      </c>
      <c r="B11" s="2">
        <f>SUM('Wheat-mix batter_Vazquez-Rowe'!$B$14:$B$20)/'Wheat-mix batter_Vazquez-Rowe'!$B$22*10^3*'HD Truck_GREET'!B5</f>
        <v>2.8962077698483493E-2</v>
      </c>
      <c r="C11" s="2">
        <f>SUM('Wheat-mix batter_Vazquez-Rowe'!$B$14:$B$20)/'Wheat-mix batter_Vazquez-Rowe'!$B$22*10^3*'HD Truck_GREET'!C5</f>
        <v>1.1411773416592324E-6</v>
      </c>
      <c r="D11" s="2">
        <f>SUM('Wheat-mix batter_Vazquez-Rowe'!$B$14:$B$20)/'Wheat-mix batter_Vazquez-Rowe'!$B$22*10^3*'HD Truck_GREET'!D5</f>
        <v>4.6719298751115074E-8</v>
      </c>
      <c r="E11" s="2">
        <f>SUM('Wheat-mix batter_Vazquez-Rowe'!$B$14:$B$20)/'Wheat-mix batter_Vazquez-Rowe'!$B$22*10^3*'HD Truck_GREET'!E5</f>
        <v>2.6955612042818904E-5</v>
      </c>
      <c r="F11" s="2">
        <f>SUM('Wheat-mix batter_Vazquez-Rowe'!$B$14:$B$20)/'Wheat-mix batter_Vazquez-Rowe'!$B$22*10^3*'HD Truck_GREET'!F5</f>
        <v>2.7691884309301359E-7</v>
      </c>
      <c r="G11" s="2">
        <f>SUM('Wheat-mix batter_Vazquez-Rowe'!$B$14:$B$20)/'Wheat-mix batter_Vazquez-Rowe'!$B$22*10^3*'HD Truck_GREET'!G5</f>
        <v>4.9754078055307753E-8</v>
      </c>
      <c r="H11" s="2">
        <f>SUM('Wheat-mix batter_Vazquez-Rowe'!$B$14:$B$20)/'Wheat-mix batter_Vazquez-Rowe'!$B$22*10^3*'HD Truck_GREET'!H5</f>
        <v>8.778287243532558E-8</v>
      </c>
    </row>
    <row r="12" spans="1:8" x14ac:dyDescent="0.3">
      <c r="A12" s="11" t="s">
        <v>453</v>
      </c>
      <c r="B12" s="2">
        <f>SUM(B3:B11)</f>
        <v>0.3514099231531097</v>
      </c>
      <c r="C12" s="2">
        <f t="shared" ref="C12:H12" si="0">SUM(C3:C11)</f>
        <v>8.9107726964601081E-4</v>
      </c>
      <c r="D12" s="2">
        <f t="shared" si="0"/>
        <v>6.7654473154477553E-5</v>
      </c>
      <c r="E12" s="2">
        <f t="shared" si="0"/>
        <v>5.8358308205658596E-4</v>
      </c>
      <c r="F12" s="2">
        <f t="shared" si="0"/>
        <v>1.1198847410052531E-3</v>
      </c>
      <c r="G12" s="2">
        <f t="shared" si="0"/>
        <v>5.7746203421348223E-6</v>
      </c>
      <c r="H12" s="2">
        <f t="shared" si="0"/>
        <v>1.135735528908943E-5</v>
      </c>
    </row>
    <row r="13" spans="1:8" x14ac:dyDescent="0.3">
      <c r="B13" s="2"/>
      <c r="C13" s="2"/>
      <c r="D13" s="2"/>
      <c r="E13" s="2"/>
      <c r="F13" s="2"/>
      <c r="G13" s="2"/>
      <c r="H13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2092-4713-4ED2-8357-AE86BE4926FB}">
  <sheetPr codeName="Sheet23"/>
  <dimension ref="A1:H10"/>
  <sheetViews>
    <sheetView workbookViewId="0">
      <selection activeCell="B9" sqref="B9"/>
    </sheetView>
  </sheetViews>
  <sheetFormatPr defaultRowHeight="14.4" x14ac:dyDescent="0.3"/>
  <cols>
    <col min="1" max="1" width="50.33203125" customWidth="1"/>
    <col min="2" max="8" width="12" bestFit="1" customWidth="1"/>
  </cols>
  <sheetData>
    <row r="1" spans="1:8" x14ac:dyDescent="0.3">
      <c r="A1" s="5" t="s">
        <v>444</v>
      </c>
    </row>
    <row r="2" spans="1:8" x14ac:dyDescent="0.3">
      <c r="A2" t="s">
        <v>445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400</v>
      </c>
      <c r="B3" s="2">
        <f>Tapwater_input_output_Simapro!B62*'Electricity US Mix_GREET'!H5</f>
        <v>1.9890000000000001E-4</v>
      </c>
      <c r="C3" s="2">
        <f>Tapwater_input_output_Simapro!B62*'Electricity US Mix_GREET'!H14*10^-3</f>
        <v>3.8219999999999997E-7</v>
      </c>
      <c r="D3" s="2">
        <f>Tapwater_input_output_Simapro!B62*'Electricity US Mix_GREET'!H15*10^-6</f>
        <v>3.1355999999999994E-9</v>
      </c>
      <c r="E3" s="2">
        <f>Tapwater_input_output_Simapro!B62*'Electricity US Mix_GREET'!H10*10^-3</f>
        <v>1.4040000000000001E-7</v>
      </c>
      <c r="F3" s="2">
        <f>Tapwater_input_output_Simapro!B62*'Electricity US Mix_GREET'!H13*10^-3</f>
        <v>3.6659999999999996E-7</v>
      </c>
      <c r="G3" s="2">
        <f>Tapwater_input_output_Simapro!B62*'Electricity US Mix_GREET'!H16*10^-6</f>
        <v>8.8919999999999989E-10</v>
      </c>
      <c r="H3" s="2">
        <f>Tapwater_input_output_Simapro!B62*'Electricity US Mix_GREET'!H17*10^-6</f>
        <v>2.0357999999999999E-9</v>
      </c>
    </row>
    <row r="4" spans="1:8" x14ac:dyDescent="0.3">
      <c r="A4" t="s">
        <v>402</v>
      </c>
      <c r="B4" s="2">
        <f>Tapwater_input_output_Simapro!B63*Chlorine_GREET!B5</f>
        <v>1.8899999999999999E-7</v>
      </c>
      <c r="C4" s="2">
        <f>Tapwater_input_output_Simapro!B63*Chlorine_GREET!B14*10^-3</f>
        <v>4.1100000000000003E-10</v>
      </c>
      <c r="D4" s="2">
        <f>Tapwater_input_output_Simapro!B63*Chlorine_GREET!B15*10^-6</f>
        <v>3.876E-12</v>
      </c>
      <c r="E4" s="2">
        <f>Tapwater_input_output_Simapro!B63*Chlorine_GREET!B10*10^-3</f>
        <v>2.3599999999999996E-10</v>
      </c>
      <c r="F4" s="2">
        <f>Tapwater_input_output_Simapro!B63*Chlorine_GREET!B13*10^-3</f>
        <v>3.6199999999999999E-10</v>
      </c>
      <c r="G4" s="2">
        <f>Tapwater_input_output_Simapro!B63*Chlorine_GREET!B16*10^-6</f>
        <v>1.8429999999999997E-12</v>
      </c>
      <c r="H4" s="2">
        <f>Tapwater_input_output_Simapro!B63*Chlorine_GREET!B17*10^-6</f>
        <v>3.9360000000000002E-12</v>
      </c>
    </row>
    <row r="5" spans="1:8" x14ac:dyDescent="0.3">
      <c r="A5" t="s">
        <v>404</v>
      </c>
      <c r="B5" s="2">
        <f>Tapwater_input_output_Simapro!B64*Hydrogen_peroxide_GREET!B5/1000</f>
        <v>8.9718640000000007E-7</v>
      </c>
      <c r="C5" s="2">
        <f>Tapwater_input_output_Simapro!B64*Hydrogen_peroxide_GREET!B14/1000*10^-3</f>
        <v>2.2528000000000003E-12</v>
      </c>
      <c r="D5" s="2">
        <f>Tapwater_input_output_Simapro!B64*Hydrogen_peroxide_GREET!B15/1000*10^-3</f>
        <v>1.0973600000000001E-11</v>
      </c>
      <c r="E5" s="2">
        <f>Tapwater_input_output_Simapro!B64*Hydrogen_peroxide_GREET!B10/1000*10^-3</f>
        <v>5.6320000000000006E-13</v>
      </c>
      <c r="F5" s="2">
        <f>Tapwater_input_output_Simapro!B64*Hydrogen_peroxide_GREET!B13/1000*10^-3</f>
        <v>6.6880000000000014E-13</v>
      </c>
      <c r="G5" s="2">
        <f>Tapwater_input_output_Simapro!B64*Hydrogen_peroxide_GREET!B16/1000*10^-3</f>
        <v>4.3031999999999997E-12</v>
      </c>
      <c r="H5" s="2">
        <f>Tapwater_input_output_Simapro!B64*Hydrogen_peroxide_GREET!B17/1000*10^-3</f>
        <v>8.6944000000000014E-12</v>
      </c>
    </row>
    <row r="6" spans="1:8" x14ac:dyDescent="0.3">
      <c r="A6" t="s">
        <v>405</v>
      </c>
      <c r="B6" s="2">
        <f>Tapwater_input_output_Simapro!$B$65*Ozone_results!B3</f>
        <v>2.5499744999999999E-5</v>
      </c>
      <c r="C6" s="2">
        <f>Tapwater_input_output_Simapro!$B$65*Ozone_results!C3</f>
        <v>4.8999509999999998E-8</v>
      </c>
      <c r="D6" s="2">
        <f>Tapwater_input_output_Simapro!$B$65*Ozone_results!D3</f>
        <v>4.0199597999999994E-10</v>
      </c>
      <c r="E6" s="2">
        <f>Tapwater_input_output_Simapro!$B$65*Ozone_results!E3</f>
        <v>1.7999819999999998E-8</v>
      </c>
      <c r="F6" s="2">
        <f>Tapwater_input_output_Simapro!$B$65*Ozone_results!F3</f>
        <v>4.699953E-8</v>
      </c>
      <c r="G6" s="2">
        <f>Tapwater_input_output_Simapro!$B$65*Ozone_results!G3</f>
        <v>1.1399885999999997E-10</v>
      </c>
      <c r="H6" s="2">
        <f>Tapwater_input_output_Simapro!$B$65*Ozone_results!H3</f>
        <v>2.6099738999999998E-10</v>
      </c>
    </row>
    <row r="7" spans="1:8" x14ac:dyDescent="0.3">
      <c r="A7" t="s">
        <v>407</v>
      </c>
      <c r="B7" s="2">
        <f>Tapwater_input_output_Simapro!B66*Charcoal_GREET!B5*10^-3</f>
        <v>2.040798E-7</v>
      </c>
      <c r="C7" s="2">
        <f>Tapwater_input_output_Simapro!B66*Charcoal_GREET!B14*10^-6</f>
        <v>3.2713649999999999E-10</v>
      </c>
      <c r="D7" s="2">
        <f>Tapwater_input_output_Simapro!B66*Charcoal_GREET!B15*10^-6</f>
        <v>2.1692339999999998E-10</v>
      </c>
      <c r="E7" s="2">
        <f>Tapwater_input_output_Simapro!B66*Charcoal_GREET!B10*10^-3</f>
        <v>1.3761E-9</v>
      </c>
      <c r="F7" s="2">
        <f>Tapwater_input_output_Simapro!B66*Charcoal_GREET!B13*10^-6</f>
        <v>4.0740899999999998E-10</v>
      </c>
      <c r="G7" s="2">
        <f>Tapwater_input_output_Simapro!B66*Charcoal_GREET!B16*10^-6</f>
        <v>4.0907700000000001E-11</v>
      </c>
      <c r="H7" s="2">
        <f>Tapwater_input_output_Simapro!B66*Charcoal_GREET!B17*10^-6</f>
        <v>1.3385699999999999E-11</v>
      </c>
    </row>
    <row r="8" spans="1:8" x14ac:dyDescent="0.3">
      <c r="A8" t="s">
        <v>15</v>
      </c>
      <c r="B8" s="2">
        <f>Tapwater_input_output_Simapro!B72*Freight_rail_GREET!Q18</f>
        <v>1.5127376000000001E-7</v>
      </c>
      <c r="C8" s="2">
        <f>Tapwater_input_output_Simapro!B72*Freight_rail_GREET!Q17</f>
        <v>2.9090423999999996E-10</v>
      </c>
      <c r="D8" s="2">
        <f>Tapwater_input_output_Simapro!B72*Freight_rail_GREET!Q19</f>
        <v>3.9107199999999997E-12</v>
      </c>
      <c r="E8" s="2">
        <f>Tapwater_input_output_Simapro!B72*Freight_rail_GREET!Q13</f>
        <v>1.6887200000000001E-9</v>
      </c>
      <c r="F8" s="2">
        <f>Tapwater_input_output_Simapro!B72*Freight_rail_GREET!Q16</f>
        <v>2.7463919999999999E-11</v>
      </c>
      <c r="G8" s="2">
        <f>Tapwater_input_output_Simapro!B72*Freight_rail_GREET!Q20</f>
        <v>4.7932984000000007E-13</v>
      </c>
      <c r="H8" s="2">
        <f>Tapwater_input_output_Simapro!B72*Freight_rail_GREET!Q21</f>
        <v>8.6986856000000017E-13</v>
      </c>
    </row>
    <row r="9" spans="1:8" x14ac:dyDescent="0.3">
      <c r="A9" t="s">
        <v>417</v>
      </c>
      <c r="B9" s="2">
        <f>Tapwater_input_output_Simapro!$B$73*'HD Truck_GREET'!B5</f>
        <v>6.8421246999999997E-8</v>
      </c>
      <c r="C9" s="2">
        <f>Tapwater_input_output_Simapro!$B$73*'HD Truck_GREET'!C5</f>
        <v>2.6959659999999996E-12</v>
      </c>
      <c r="D9" s="2">
        <f>Tapwater_input_output_Simapro!$B$73*'HD Truck_GREET'!D5</f>
        <v>1.1037166300000001E-13</v>
      </c>
      <c r="E9" s="2">
        <f>Tapwater_input_output_Simapro!$B$73*'HD Truck_GREET'!E5</f>
        <v>6.3681086999999994E-11</v>
      </c>
      <c r="F9" s="2">
        <f>Tapwater_input_output_Simapro!$B$73*'HD Truck_GREET'!F5</f>
        <v>6.5420487989414644E-13</v>
      </c>
      <c r="G9" s="2">
        <f>Tapwater_input_output_Simapro!$B$73*'HD Truck_GREET'!G5</f>
        <v>1.17541155E-13</v>
      </c>
      <c r="H9" s="2">
        <f>Tapwater_input_output_Simapro!$B$73*'HD Truck_GREET'!H5</f>
        <v>2.0738199999999999E-13</v>
      </c>
    </row>
    <row r="10" spans="1:8" x14ac:dyDescent="0.3">
      <c r="A10" t="s">
        <v>453</v>
      </c>
      <c r="B10" s="2">
        <f>SUM(B3:B9)</f>
        <v>2.2590970620700005E-4</v>
      </c>
      <c r="C10" s="2">
        <f t="shared" ref="C10:H10" si="0">SUM(C3:C9)</f>
        <v>4.3223349950599995E-7</v>
      </c>
      <c r="D10" s="2">
        <f t="shared" si="0"/>
        <v>3.7733900716629995E-9</v>
      </c>
      <c r="E10" s="2">
        <f t="shared" si="0"/>
        <v>1.6176488428699998E-7</v>
      </c>
      <c r="F10" s="2">
        <f t="shared" si="0"/>
        <v>4.1439772592487984E-7</v>
      </c>
      <c r="G10" s="2">
        <f t="shared" si="0"/>
        <v>1.0508496309949996E-9</v>
      </c>
      <c r="H10" s="2">
        <f t="shared" si="0"/>
        <v>2.3238907405599999E-9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59B7-BE2F-4A7D-9B86-582515073B95}">
  <sheetPr codeName="Sheet22"/>
  <dimension ref="A1:I101"/>
  <sheetViews>
    <sheetView topLeftCell="A49" workbookViewId="0">
      <selection activeCell="B8" sqref="B8"/>
    </sheetView>
  </sheetViews>
  <sheetFormatPr defaultRowHeight="14.4" x14ac:dyDescent="0.3"/>
  <cols>
    <col min="1" max="1" width="50.33203125" customWidth="1"/>
  </cols>
  <sheetData>
    <row r="1" spans="1:6" x14ac:dyDescent="0.3">
      <c r="A1" t="s">
        <v>327</v>
      </c>
      <c r="B1" t="s">
        <v>328</v>
      </c>
      <c r="C1" t="s">
        <v>329</v>
      </c>
      <c r="D1" s="3">
        <v>43733</v>
      </c>
      <c r="E1" t="s">
        <v>330</v>
      </c>
      <c r="F1" s="4">
        <v>0.8144097222222223</v>
      </c>
    </row>
    <row r="5" spans="1:6" x14ac:dyDescent="0.3">
      <c r="A5" t="s">
        <v>331</v>
      </c>
    </row>
    <row r="7" spans="1:6" x14ac:dyDescent="0.3">
      <c r="A7" t="s">
        <v>332</v>
      </c>
      <c r="B7" t="s">
        <v>333</v>
      </c>
    </row>
    <row r="8" spans="1:6" x14ac:dyDescent="0.3">
      <c r="A8" t="s">
        <v>334</v>
      </c>
      <c r="B8" t="s">
        <v>335</v>
      </c>
    </row>
    <row r="9" spans="1:6" x14ac:dyDescent="0.3">
      <c r="A9" t="s">
        <v>336</v>
      </c>
      <c r="B9" t="s">
        <v>337</v>
      </c>
    </row>
    <row r="10" spans="1:6" x14ac:dyDescent="0.3">
      <c r="A10" t="s">
        <v>338</v>
      </c>
      <c r="B10" t="s">
        <v>339</v>
      </c>
    </row>
    <row r="11" spans="1:6" x14ac:dyDescent="0.3">
      <c r="A11" t="s">
        <v>340</v>
      </c>
    </row>
    <row r="12" spans="1:6" x14ac:dyDescent="0.3">
      <c r="A12" t="s">
        <v>341</v>
      </c>
      <c r="B12" t="s">
        <v>342</v>
      </c>
    </row>
    <row r="13" spans="1:6" x14ac:dyDescent="0.3">
      <c r="A13" t="s">
        <v>343</v>
      </c>
      <c r="B13" t="s">
        <v>342</v>
      </c>
    </row>
    <row r="14" spans="1:6" x14ac:dyDescent="0.3">
      <c r="A14" t="s">
        <v>344</v>
      </c>
      <c r="B14" t="s">
        <v>342</v>
      </c>
    </row>
    <row r="15" spans="1:6" x14ac:dyDescent="0.3">
      <c r="A15" t="s">
        <v>345</v>
      </c>
      <c r="B15" t="s">
        <v>342</v>
      </c>
    </row>
    <row r="16" spans="1:6" x14ac:dyDescent="0.3">
      <c r="A16" t="s">
        <v>346</v>
      </c>
      <c r="B16" t="s">
        <v>342</v>
      </c>
    </row>
    <row r="17" spans="1:2" x14ac:dyDescent="0.3">
      <c r="A17" t="s">
        <v>347</v>
      </c>
      <c r="B17" t="s">
        <v>342</v>
      </c>
    </row>
    <row r="18" spans="1:2" x14ac:dyDescent="0.3">
      <c r="A18" t="s">
        <v>348</v>
      </c>
      <c r="B18" t="s">
        <v>342</v>
      </c>
    </row>
    <row r="19" spans="1:2" x14ac:dyDescent="0.3">
      <c r="A19" t="s">
        <v>349</v>
      </c>
      <c r="B19" t="s">
        <v>342</v>
      </c>
    </row>
    <row r="20" spans="1:2" x14ac:dyDescent="0.3">
      <c r="A20" t="s">
        <v>350</v>
      </c>
      <c r="B20" t="s">
        <v>342</v>
      </c>
    </row>
    <row r="21" spans="1:2" x14ac:dyDescent="0.3">
      <c r="A21" t="s">
        <v>351</v>
      </c>
      <c r="B21" t="s">
        <v>352</v>
      </c>
    </row>
    <row r="22" spans="1:2" x14ac:dyDescent="0.3">
      <c r="A22" t="s">
        <v>353</v>
      </c>
      <c r="B22" s="3">
        <v>38552</v>
      </c>
    </row>
    <row r="23" spans="1:2" x14ac:dyDescent="0.3">
      <c r="A23" t="s">
        <v>354</v>
      </c>
      <c r="B23" t="s">
        <v>355</v>
      </c>
    </row>
    <row r="24" spans="1:2" x14ac:dyDescent="0.3">
      <c r="B24" t="s">
        <v>356</v>
      </c>
    </row>
    <row r="25" spans="1:2" x14ac:dyDescent="0.3">
      <c r="A25" t="s">
        <v>357</v>
      </c>
      <c r="B25" t="s">
        <v>358</v>
      </c>
    </row>
    <row r="26" spans="1:2" x14ac:dyDescent="0.3">
      <c r="B26" t="s">
        <v>356</v>
      </c>
    </row>
    <row r="27" spans="1:2" x14ac:dyDescent="0.3">
      <c r="A27" t="s">
        <v>359</v>
      </c>
      <c r="B27" t="s">
        <v>360</v>
      </c>
    </row>
    <row r="28" spans="1:2" x14ac:dyDescent="0.3">
      <c r="B28" t="s">
        <v>361</v>
      </c>
    </row>
    <row r="29" spans="1:2" x14ac:dyDescent="0.3">
      <c r="B29" t="s">
        <v>362</v>
      </c>
    </row>
    <row r="30" spans="1:2" x14ac:dyDescent="0.3">
      <c r="A30" t="s">
        <v>363</v>
      </c>
      <c r="B30" t="s">
        <v>364</v>
      </c>
    </row>
    <row r="31" spans="1:2" x14ac:dyDescent="0.3">
      <c r="A31" t="s">
        <v>365</v>
      </c>
      <c r="B31" t="s">
        <v>366</v>
      </c>
    </row>
    <row r="32" spans="1:2" x14ac:dyDescent="0.3">
      <c r="B32" t="s">
        <v>367</v>
      </c>
    </row>
    <row r="33" spans="1:2" x14ac:dyDescent="0.3">
      <c r="A33" t="s">
        <v>368</v>
      </c>
      <c r="B33" t="s">
        <v>369</v>
      </c>
    </row>
    <row r="34" spans="1:2" x14ac:dyDescent="0.3">
      <c r="B34" t="s">
        <v>370</v>
      </c>
    </row>
    <row r="35" spans="1:2" x14ac:dyDescent="0.3">
      <c r="B35" t="s">
        <v>371</v>
      </c>
    </row>
    <row r="36" spans="1:2" x14ac:dyDescent="0.3">
      <c r="A36" t="s">
        <v>372</v>
      </c>
      <c r="B36" t="s">
        <v>373</v>
      </c>
    </row>
    <row r="37" spans="1:2" x14ac:dyDescent="0.3">
      <c r="B37" t="s">
        <v>374</v>
      </c>
    </row>
    <row r="38" spans="1:2" x14ac:dyDescent="0.3">
      <c r="B38" t="s">
        <v>375</v>
      </c>
    </row>
    <row r="39" spans="1:2" x14ac:dyDescent="0.3">
      <c r="B39" t="s">
        <v>376</v>
      </c>
    </row>
    <row r="40" spans="1:2" x14ac:dyDescent="0.3">
      <c r="B40" t="s">
        <v>377</v>
      </c>
    </row>
    <row r="41" spans="1:2" x14ac:dyDescent="0.3">
      <c r="B41" t="s">
        <v>378</v>
      </c>
    </row>
    <row r="42" spans="1:2" x14ac:dyDescent="0.3">
      <c r="B42" t="s">
        <v>379</v>
      </c>
    </row>
    <row r="43" spans="1:2" x14ac:dyDescent="0.3">
      <c r="B43" t="s">
        <v>380</v>
      </c>
    </row>
    <row r="44" spans="1:2" x14ac:dyDescent="0.3">
      <c r="B44" t="s">
        <v>381</v>
      </c>
    </row>
    <row r="45" spans="1:2" x14ac:dyDescent="0.3">
      <c r="B45" t="s">
        <v>382</v>
      </c>
    </row>
    <row r="46" spans="1:2" x14ac:dyDescent="0.3">
      <c r="B46" t="s">
        <v>383</v>
      </c>
    </row>
    <row r="47" spans="1:2" x14ac:dyDescent="0.3">
      <c r="A47" t="s">
        <v>384</v>
      </c>
    </row>
    <row r="48" spans="1:2" x14ac:dyDescent="0.3">
      <c r="A48" t="s">
        <v>385</v>
      </c>
      <c r="B48" t="s">
        <v>386</v>
      </c>
    </row>
    <row r="51" spans="1:9" x14ac:dyDescent="0.3">
      <c r="A51" t="s">
        <v>387</v>
      </c>
    </row>
    <row r="52" spans="1:9" x14ac:dyDescent="0.3">
      <c r="A52" t="s">
        <v>87</v>
      </c>
      <c r="B52">
        <v>1</v>
      </c>
      <c r="C52" t="s">
        <v>5</v>
      </c>
      <c r="D52">
        <v>100</v>
      </c>
      <c r="E52" t="s">
        <v>388</v>
      </c>
      <c r="F52" t="s">
        <v>389</v>
      </c>
      <c r="G52" t="s">
        <v>390</v>
      </c>
    </row>
    <row r="54" spans="1:9" x14ac:dyDescent="0.3">
      <c r="A54" t="s">
        <v>391</v>
      </c>
    </row>
    <row r="56" spans="1:9" x14ac:dyDescent="0.3">
      <c r="A56" t="s">
        <v>45</v>
      </c>
    </row>
    <row r="57" spans="1:9" x14ac:dyDescent="0.3">
      <c r="A57" t="s">
        <v>392</v>
      </c>
      <c r="B57" t="s">
        <v>393</v>
      </c>
      <c r="C57">
        <v>5.1303000000000004E-4</v>
      </c>
      <c r="D57" t="s">
        <v>394</v>
      </c>
      <c r="E57" t="s">
        <v>395</v>
      </c>
      <c r="F57">
        <v>1.0744</v>
      </c>
      <c r="I57" t="s">
        <v>396</v>
      </c>
    </row>
    <row r="58" spans="1:9" x14ac:dyDescent="0.3">
      <c r="A58" t="s">
        <v>397</v>
      </c>
      <c r="B58" t="s">
        <v>393</v>
      </c>
      <c r="C58">
        <v>2.0521E-4</v>
      </c>
      <c r="D58" t="s">
        <v>394</v>
      </c>
      <c r="E58" t="s">
        <v>395</v>
      </c>
      <c r="F58">
        <v>1.0744</v>
      </c>
      <c r="I58" t="s">
        <v>396</v>
      </c>
    </row>
    <row r="59" spans="1:9" x14ac:dyDescent="0.3">
      <c r="A59" t="s">
        <v>398</v>
      </c>
      <c r="B59" t="s">
        <v>393</v>
      </c>
      <c r="C59">
        <v>4.1041999999999999E-4</v>
      </c>
      <c r="D59" t="s">
        <v>394</v>
      </c>
      <c r="E59" t="s">
        <v>395</v>
      </c>
      <c r="F59">
        <v>1.0744</v>
      </c>
      <c r="I59" t="s">
        <v>396</v>
      </c>
    </row>
    <row r="61" spans="1:9" x14ac:dyDescent="0.3">
      <c r="A61" t="s">
        <v>399</v>
      </c>
    </row>
    <row r="62" spans="1:9" x14ac:dyDescent="0.3">
      <c r="A62" t="s">
        <v>400</v>
      </c>
      <c r="B62">
        <v>3.8999999999999999E-4</v>
      </c>
      <c r="C62" t="s">
        <v>10</v>
      </c>
      <c r="D62" t="s">
        <v>395</v>
      </c>
      <c r="E62">
        <v>2</v>
      </c>
      <c r="H62" t="s">
        <v>401</v>
      </c>
    </row>
    <row r="63" spans="1:9" x14ac:dyDescent="0.3">
      <c r="A63" t="s">
        <v>402</v>
      </c>
      <c r="B63">
        <v>9.9999999999999995E-8</v>
      </c>
      <c r="C63" t="s">
        <v>5</v>
      </c>
      <c r="D63" t="s">
        <v>395</v>
      </c>
      <c r="E63">
        <v>1.2238</v>
      </c>
      <c r="H63" t="s">
        <v>403</v>
      </c>
    </row>
    <row r="64" spans="1:9" x14ac:dyDescent="0.3">
      <c r="A64" t="s">
        <v>404</v>
      </c>
      <c r="B64">
        <v>8.8000000000000004E-7</v>
      </c>
      <c r="C64" t="s">
        <v>5</v>
      </c>
      <c r="D64" t="s">
        <v>395</v>
      </c>
      <c r="E64">
        <v>1.2238</v>
      </c>
      <c r="H64" t="s">
        <v>403</v>
      </c>
    </row>
    <row r="65" spans="1:9" x14ac:dyDescent="0.3">
      <c r="A65" t="s">
        <v>405</v>
      </c>
      <c r="B65">
        <v>3.3332999999999999E-6</v>
      </c>
      <c r="C65" t="s">
        <v>5</v>
      </c>
      <c r="D65" t="s">
        <v>395</v>
      </c>
      <c r="E65">
        <v>1.2238</v>
      </c>
      <c r="H65" t="s">
        <v>406</v>
      </c>
    </row>
    <row r="66" spans="1:9" x14ac:dyDescent="0.3">
      <c r="A66" t="s">
        <v>407</v>
      </c>
      <c r="B66">
        <v>4.1699999999999999E-6</v>
      </c>
      <c r="C66" t="s">
        <v>5</v>
      </c>
      <c r="D66" t="s">
        <v>395</v>
      </c>
      <c r="E66">
        <v>1.2238</v>
      </c>
      <c r="H66" t="s">
        <v>403</v>
      </c>
    </row>
    <row r="67" spans="1:9" x14ac:dyDescent="0.3">
      <c r="A67" t="s">
        <v>408</v>
      </c>
      <c r="B67">
        <v>6.3300000000000004E-6</v>
      </c>
      <c r="C67" t="s">
        <v>5</v>
      </c>
      <c r="D67" t="s">
        <v>395</v>
      </c>
      <c r="E67">
        <v>1.2238</v>
      </c>
      <c r="H67" t="s">
        <v>409</v>
      </c>
    </row>
    <row r="68" spans="1:9" x14ac:dyDescent="0.3">
      <c r="A68" t="s">
        <v>410</v>
      </c>
      <c r="B68">
        <v>3.1429000000000001E-10</v>
      </c>
      <c r="C68" t="s">
        <v>411</v>
      </c>
      <c r="D68" t="s">
        <v>395</v>
      </c>
      <c r="E68">
        <v>3.0525000000000002</v>
      </c>
      <c r="H68" t="s">
        <v>409</v>
      </c>
    </row>
    <row r="69" spans="1:9" x14ac:dyDescent="0.3">
      <c r="A69" t="s">
        <v>412</v>
      </c>
      <c r="B69">
        <v>2.0567999999999999E-11</v>
      </c>
      <c r="C69" t="s">
        <v>413</v>
      </c>
      <c r="D69" t="s">
        <v>395</v>
      </c>
      <c r="E69">
        <v>3.0525000000000002</v>
      </c>
      <c r="H69" t="s">
        <v>403</v>
      </c>
    </row>
    <row r="70" spans="1:9" x14ac:dyDescent="0.3">
      <c r="A70" t="s">
        <v>414</v>
      </c>
      <c r="B70">
        <v>2.0567999999999999E-11</v>
      </c>
      <c r="C70" t="s">
        <v>413</v>
      </c>
      <c r="D70" t="s">
        <v>395</v>
      </c>
      <c r="E70">
        <v>3.0525000000000002</v>
      </c>
      <c r="H70" t="s">
        <v>403</v>
      </c>
    </row>
    <row r="71" spans="1:9" x14ac:dyDescent="0.3">
      <c r="A71" t="s">
        <v>415</v>
      </c>
      <c r="B71">
        <v>1.1906999999999999E-11</v>
      </c>
      <c r="C71" t="s">
        <v>413</v>
      </c>
      <c r="D71" t="s">
        <v>395</v>
      </c>
      <c r="E71">
        <v>3.0525000000000002</v>
      </c>
      <c r="H71" t="s">
        <v>403</v>
      </c>
    </row>
    <row r="72" spans="1:9" x14ac:dyDescent="0.3">
      <c r="A72" t="s">
        <v>15</v>
      </c>
      <c r="B72">
        <v>8.8880000000000003E-6</v>
      </c>
      <c r="C72" t="s">
        <v>16</v>
      </c>
      <c r="D72" t="s">
        <v>395</v>
      </c>
      <c r="E72">
        <v>2.0950000000000002</v>
      </c>
      <c r="H72" t="s">
        <v>416</v>
      </c>
    </row>
    <row r="73" spans="1:9" x14ac:dyDescent="0.3">
      <c r="A73" t="s">
        <v>417</v>
      </c>
      <c r="B73">
        <v>1.4812999999999999E-6</v>
      </c>
      <c r="C73" t="s">
        <v>16</v>
      </c>
      <c r="D73" t="s">
        <v>395</v>
      </c>
      <c r="E73">
        <v>2.0950000000000002</v>
      </c>
      <c r="H73" t="s">
        <v>418</v>
      </c>
    </row>
    <row r="75" spans="1:9" x14ac:dyDescent="0.3">
      <c r="A75" t="s">
        <v>419</v>
      </c>
    </row>
    <row r="77" spans="1:9" x14ac:dyDescent="0.3">
      <c r="A77" t="s">
        <v>420</v>
      </c>
    </row>
    <row r="78" spans="1:9" x14ac:dyDescent="0.3">
      <c r="A78" t="s">
        <v>421</v>
      </c>
      <c r="B78" t="s">
        <v>422</v>
      </c>
      <c r="C78">
        <v>1.4040000000000001E-3</v>
      </c>
      <c r="D78" t="s">
        <v>12</v>
      </c>
      <c r="E78" t="s">
        <v>395</v>
      </c>
      <c r="F78">
        <v>1.2225999999999999</v>
      </c>
      <c r="I78" t="s">
        <v>423</v>
      </c>
    </row>
    <row r="80" spans="1:9" x14ac:dyDescent="0.3">
      <c r="A80" t="s">
        <v>424</v>
      </c>
    </row>
    <row r="81" spans="1:9" x14ac:dyDescent="0.3">
      <c r="A81" t="s">
        <v>425</v>
      </c>
      <c r="B81" t="s">
        <v>426</v>
      </c>
      <c r="C81">
        <v>1.2948000000000001E-6</v>
      </c>
      <c r="D81" t="s">
        <v>5</v>
      </c>
      <c r="E81" t="s">
        <v>427</v>
      </c>
    </row>
    <row r="82" spans="1:9" x14ac:dyDescent="0.3">
      <c r="A82" t="s">
        <v>428</v>
      </c>
      <c r="B82" t="s">
        <v>426</v>
      </c>
      <c r="C82">
        <v>9.9999999999999995E-8</v>
      </c>
      <c r="D82" t="s">
        <v>5</v>
      </c>
      <c r="E82" t="s">
        <v>395</v>
      </c>
      <c r="F82">
        <v>1.7743</v>
      </c>
      <c r="I82" t="s">
        <v>429</v>
      </c>
    </row>
    <row r="83" spans="1:9" x14ac:dyDescent="0.3">
      <c r="A83" t="s">
        <v>430</v>
      </c>
      <c r="B83" t="s">
        <v>426</v>
      </c>
      <c r="C83">
        <v>5.0351999999999997E-6</v>
      </c>
      <c r="D83" t="s">
        <v>5</v>
      </c>
      <c r="E83" t="s">
        <v>395</v>
      </c>
      <c r="F83">
        <v>1.7743</v>
      </c>
      <c r="I83" t="s">
        <v>431</v>
      </c>
    </row>
    <row r="85" spans="1:9" x14ac:dyDescent="0.3">
      <c r="A85" t="s">
        <v>432</v>
      </c>
    </row>
    <row r="87" spans="1:9" x14ac:dyDescent="0.3">
      <c r="A87" t="s">
        <v>433</v>
      </c>
    </row>
    <row r="89" spans="1:9" x14ac:dyDescent="0.3">
      <c r="A89" t="s">
        <v>434</v>
      </c>
    </row>
    <row r="91" spans="1:9" x14ac:dyDescent="0.3">
      <c r="A91" t="s">
        <v>435</v>
      </c>
    </row>
    <row r="93" spans="1:9" x14ac:dyDescent="0.3">
      <c r="A93" t="s">
        <v>436</v>
      </c>
    </row>
    <row r="95" spans="1:9" x14ac:dyDescent="0.3">
      <c r="A95" t="s">
        <v>437</v>
      </c>
    </row>
    <row r="96" spans="1:9" x14ac:dyDescent="0.3">
      <c r="A96" t="s">
        <v>438</v>
      </c>
      <c r="B96">
        <v>4.1699999999999999E-6</v>
      </c>
      <c r="C96" t="s">
        <v>5</v>
      </c>
      <c r="D96" t="s">
        <v>395</v>
      </c>
      <c r="E96">
        <v>1.2238</v>
      </c>
      <c r="H96" t="s">
        <v>439</v>
      </c>
    </row>
    <row r="97" spans="1:8" x14ac:dyDescent="0.3">
      <c r="A97" t="s">
        <v>440</v>
      </c>
      <c r="B97">
        <v>1.7655999999999998E-5</v>
      </c>
      <c r="C97" t="s">
        <v>394</v>
      </c>
      <c r="D97" t="s">
        <v>395</v>
      </c>
      <c r="E97">
        <v>1.5688</v>
      </c>
      <c r="H97" t="s">
        <v>441</v>
      </c>
    </row>
    <row r="99" spans="1:8" x14ac:dyDescent="0.3">
      <c r="A99" t="s">
        <v>442</v>
      </c>
    </row>
    <row r="101" spans="1:8" x14ac:dyDescent="0.3">
      <c r="A101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A64E-A1C0-477E-AD2A-9D202AC7DD9F}">
  <sheetPr codeName="Sheet3"/>
  <dimension ref="A1:I13"/>
  <sheetViews>
    <sheetView workbookViewId="0">
      <selection activeCell="A2" sqref="A2"/>
    </sheetView>
  </sheetViews>
  <sheetFormatPr defaultRowHeight="14.4" x14ac:dyDescent="0.3"/>
  <cols>
    <col min="1" max="1" width="40" customWidth="1"/>
    <col min="4" max="9" width="12" bestFit="1" customWidth="1"/>
  </cols>
  <sheetData>
    <row r="1" spans="1:9" x14ac:dyDescent="0.3">
      <c r="A1" t="s">
        <v>658</v>
      </c>
    </row>
    <row r="2" spans="1:9" x14ac:dyDescent="0.3">
      <c r="B2" t="s">
        <v>3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</row>
    <row r="3" spans="1:9" x14ac:dyDescent="0.3">
      <c r="A3" t="s">
        <v>4</v>
      </c>
      <c r="C3">
        <f>'Bleached kraft paper_Simapro'!B3*'Sodium sulfate_GREET'!B5</f>
        <v>0.46920000000000001</v>
      </c>
      <c r="D3">
        <f>'Bleached kraft paper_Simapro'!B3*'Sodium sulfate_GREET'!B14*10^-3</f>
        <v>8.5680000000000001E-4</v>
      </c>
      <c r="E3">
        <f>'Bleached kraft paper_Simapro'!B3*'Sodium sulfate_GREET'!B15*10^-6</f>
        <v>9.4248E-6</v>
      </c>
      <c r="F3">
        <f>'Bleached kraft paper_Simapro'!B3*'Sodium sulfate_GREET'!B10*10^-3</f>
        <v>1.0914000000000002E-3</v>
      </c>
      <c r="G3">
        <f>'Bleached kraft paper_Simapro'!B3*'Sodium sulfate_GREET'!B13*10^-3</f>
        <v>1.2382800000000001E-2</v>
      </c>
      <c r="H3">
        <f>'Bleached kraft paper_Simapro'!B3*'Sodium sulfate_GREET'!B16*10^-6</f>
        <v>7.1501999999999997E-6</v>
      </c>
      <c r="I3">
        <f>'Bleached kraft paper_Simapro'!B3*'Sodium sulfate_GREET'!B17*10^-6</f>
        <v>1.22094E-5</v>
      </c>
    </row>
    <row r="4" spans="1:9" x14ac:dyDescent="0.3">
      <c r="A4" t="s">
        <v>6</v>
      </c>
      <c r="C4">
        <f>'Bleached kraft paper_Simapro'!B4*Kaolin_GREET!B5</f>
        <v>2.1735000000000001E-2</v>
      </c>
      <c r="D4">
        <f>'Bleached kraft paper_Simapro'!B4*Kaolin_GREET!B14*10^-3</f>
        <v>4.8851999999999999E-5</v>
      </c>
      <c r="E4">
        <f>'Bleached kraft paper_Simapro'!B4*Kaolin_GREET!B15*10^-6</f>
        <v>4.0075199999999999E-7</v>
      </c>
      <c r="F4">
        <f>'Bleached kraft paper_Simapro'!B4*Kaolin_GREET!B10*10^-3</f>
        <v>2.7324000000000001E-5</v>
      </c>
      <c r="G4">
        <f>'Bleached kraft paper_Simapro'!B4*Kaolin_GREET!B13*10^-3</f>
        <v>8.3213999999999993E-5</v>
      </c>
      <c r="H4">
        <f>'Bleached kraft paper_Simapro'!B4*Kaolin_GREET!B16*10^-6</f>
        <v>3.1650299999999999E-7</v>
      </c>
      <c r="I4">
        <f>'Bleached kraft paper_Simapro'!B4*Kaolin_GREET!B17*10^-6</f>
        <v>5.4710099999999994E-7</v>
      </c>
    </row>
    <row r="5" spans="1:9" x14ac:dyDescent="0.3">
      <c r="A5" t="s">
        <v>7</v>
      </c>
      <c r="C5" s="2">
        <f>'Bleached kraft paper_Simapro'!B5*'Potato starch results'!B9</f>
        <v>4.4518340266202407E-3</v>
      </c>
      <c r="D5" s="2">
        <f>'Bleached kraft paper_Simapro'!B5*'Potato starch results'!C9</f>
        <v>1.6657071043861915E-4</v>
      </c>
      <c r="E5" s="2">
        <f>'Bleached kraft paper_Simapro'!B5*'Potato starch results'!D9</f>
        <v>2.5108163837314538E-5</v>
      </c>
      <c r="F5" s="2">
        <f>'Bleached kraft paper_Simapro'!B5*'Potato starch results'!E9</f>
        <v>4.2157303471610908E-5</v>
      </c>
      <c r="G5" s="2">
        <f>'Bleached kraft paper_Simapro'!B5*'Potato starch results'!F9</f>
        <v>5.6416086585210549E-5</v>
      </c>
      <c r="H5" s="2">
        <f>'Bleached kraft paper_Simapro'!B5*'Potato starch results'!G9</f>
        <v>1.4046467438027932E-4</v>
      </c>
      <c r="I5" s="2">
        <f>'Bleached kraft paper_Simapro'!B5*'Potato starch results'!H9</f>
        <v>6.1782264656213705E-5</v>
      </c>
    </row>
    <row r="6" spans="1:9" x14ac:dyDescent="0.3">
      <c r="A6" t="s">
        <v>8</v>
      </c>
      <c r="C6">
        <f>'Bleached kraft paper_Simapro'!B6*Plastics_mix_GREET!B5</f>
        <v>9.8890000000000002E-3</v>
      </c>
      <c r="D6">
        <f>'Bleached kraft paper_Simapro'!B6*Plastics_mix_GREET!B14*10^-3</f>
        <v>7.1486E-5</v>
      </c>
      <c r="E6">
        <f>'Bleached kraft paper_Simapro'!B6*Plastics_mix_GREET!B15*10^-3</f>
        <v>7.7499999999999999E-7</v>
      </c>
      <c r="F6">
        <f>'Bleached kraft paper_Simapro'!B6*Plastics_mix_GREET!B10*10^-3</f>
        <v>1.6244000000000002E-5</v>
      </c>
      <c r="G6">
        <f>'Bleached kraft paper_Simapro'!B6*Plastics_mix_GREET!B13*10^-3</f>
        <v>5.5148999999999997E-5</v>
      </c>
      <c r="H6">
        <f>'Bleached kraft paper_Simapro'!B6*Plastics_mix_GREET!B16*10^-6</f>
        <v>1.2617E-7</v>
      </c>
      <c r="I6">
        <f>'Bleached kraft paper_Simapro'!B6*Plastics_mix_GREET!B17*10^-6</f>
        <v>1.9161100000000001E-7</v>
      </c>
    </row>
    <row r="7" spans="1:9" x14ac:dyDescent="0.3">
      <c r="A7" t="s">
        <v>9</v>
      </c>
      <c r="C7">
        <f>'Bleached kraft paper_Simapro'!B7*'Electricity US Mix_GREET'!H5</f>
        <v>0.43197000000000002</v>
      </c>
      <c r="D7">
        <f>'Bleached kraft paper_Simapro'!B7*'Electricity US Mix_GREET'!H14*10^-3</f>
        <v>8.3005999999999998E-4</v>
      </c>
      <c r="E7">
        <f>'Bleached kraft paper_Simapro'!B7*'Electricity US Mix_GREET'!H15*10^-6</f>
        <v>6.8098799999999984E-6</v>
      </c>
      <c r="F7">
        <f>'Bleached kraft paper_Simapro'!B7*'Electricity US Mix_GREET'!H10*10^-3</f>
        <v>3.0491999999999997E-4</v>
      </c>
      <c r="G7">
        <f>'Bleached kraft paper_Simapro'!B7*'Electricity US Mix_GREET'!H13*10^-3</f>
        <v>7.9617999999999996E-4</v>
      </c>
      <c r="H7">
        <f>'Bleached kraft paper_Simapro'!B7*'Electricity US Mix_GREET'!H16*10^-6</f>
        <v>1.9311599999999996E-6</v>
      </c>
      <c r="I7">
        <f>'Bleached kraft paper_Simapro'!B7*'Electricity US Mix_GREET'!H17*10^-6</f>
        <v>4.4213399999999998E-6</v>
      </c>
    </row>
    <row r="8" spans="1:9" x14ac:dyDescent="0.3">
      <c r="A8" t="s">
        <v>11</v>
      </c>
      <c r="C8">
        <f>'Bleached kraft paper_Simapro'!B8*'Oil-fired electricity_GREET'!B5</f>
        <v>3.0939999999999999E-2</v>
      </c>
      <c r="D8">
        <f>'Bleached kraft paper_Simapro'!B8*'Oil-fired electricity_GREET'!B14*10^-3</f>
        <v>2.499E-5</v>
      </c>
      <c r="E8">
        <f>'Bleached kraft paper_Simapro'!B8*'Oil-fired electricity_GREET'!B15*10^-6</f>
        <v>2.7012999999999994E-7</v>
      </c>
      <c r="F8">
        <f>'Bleached kraft paper_Simapro'!B8*'Oil-fired electricity_GREET'!B10*10^-3</f>
        <v>1.4279999999999997E-4</v>
      </c>
      <c r="G8">
        <f>'Bleached kraft paper_Simapro'!B8*'Oil-fired electricity_GREET'!B13*10^-3</f>
        <v>1.0234E-4</v>
      </c>
      <c r="H8">
        <f>'Bleached kraft paper_Simapro'!B8*'Oil-fired electricity_GREET'!B16*10^-6</f>
        <v>3.3319999999999994E-7</v>
      </c>
      <c r="I8">
        <f>'Bleached kraft paper_Simapro'!B8*'Oil-fired electricity_GREET'!B17*10^-6</f>
        <v>3.6770999999999995E-7</v>
      </c>
    </row>
    <row r="9" spans="1:9" x14ac:dyDescent="0.3">
      <c r="A9" t="s">
        <v>13</v>
      </c>
      <c r="C9">
        <f>'Bleached kraft paper_Simapro'!B9*'NG-fired electricity_GREET'!B5</f>
        <v>0.92759999999999998</v>
      </c>
      <c r="D9">
        <f>'Bleached kraft paper_Simapro'!B9*'NG-fired electricity_GREET'!B14*10^-3</f>
        <v>2.3963000000000001E-3</v>
      </c>
      <c r="E9">
        <f>'Bleached kraft paper_Simapro'!B9*'NG-fired electricity_GREET'!B15*10^-6</f>
        <v>1.33729E-5</v>
      </c>
      <c r="F9">
        <f>'Bleached kraft paper_Simapro'!B9*'NG-fired electricity_GREET'!K10*10^-3</f>
        <v>2.3963000000000001E-3</v>
      </c>
      <c r="G9">
        <f>'Bleached kraft paper_Simapro'!B9*'NG-fired electricity_GREET'!B13*10^-6</f>
        <v>2.053088E-4</v>
      </c>
      <c r="H9">
        <f>'Bleached kraft paper_Simapro'!B9*'NG-fired electricity_GREET'!B16*10^-6</f>
        <v>5.3336999999999994E-6</v>
      </c>
      <c r="I9">
        <f>'Bleached kraft paper_Simapro'!B9*'NG-fired electricity_GREET'!B17*10^-6</f>
        <v>1.33729E-5</v>
      </c>
    </row>
    <row r="10" spans="1:9" x14ac:dyDescent="0.3">
      <c r="A10" t="s">
        <v>14</v>
      </c>
      <c r="C10">
        <f>'Bleached kraft paper_Simapro'!B10*'NG-fired electricity_GREET'!B5</f>
        <v>2.8799999999999999E-2</v>
      </c>
      <c r="D10">
        <f>'Bleached kraft paper_Simapro'!B10*'NG-fired electricity_GREET'!B14*10^-3</f>
        <v>7.4399999999999992E-5</v>
      </c>
      <c r="E10">
        <f>'Bleached kraft paper_Simapro'!B10*'NG-fired electricity_GREET'!B15*10^-6</f>
        <v>4.1519999999999996E-7</v>
      </c>
      <c r="F10">
        <f>'Bleached kraft paper_Simapro'!B10*'NG-fired electricity_GREET'!K10*10^-3</f>
        <v>7.4399999999999992E-5</v>
      </c>
      <c r="G10">
        <f>'Bleached kraft paper_Simapro'!B10*'NG-fired electricity_GREET'!B13*10^-6</f>
        <v>6.3743999999999995E-6</v>
      </c>
      <c r="H10">
        <f>'Bleached kraft paper_Simapro'!B10*'NG-fired electricity_GREET'!B16*10^-6</f>
        <v>1.6559999999999997E-7</v>
      </c>
      <c r="I10">
        <f>'Bleached kraft paper_Simapro'!B10*'NG-fired electricity_GREET'!B17*10^-6</f>
        <v>4.1519999999999996E-7</v>
      </c>
    </row>
    <row r="11" spans="1:9" x14ac:dyDescent="0.3">
      <c r="A11" t="s">
        <v>15</v>
      </c>
      <c r="C11">
        <f>'Bleached kraft paper_Simapro'!B11*Freight_rail_GREET!Q18</f>
        <v>3.1657199999999999E-4</v>
      </c>
      <c r="D11">
        <f>'Bleached kraft paper_Simapro'!B11*Freight_rail_GREET!Q17</f>
        <v>6.0877799999999981E-7</v>
      </c>
      <c r="E11">
        <f>'Bleached kraft paper_Simapro'!B11*Freight_rail_GREET!Q19</f>
        <v>8.183999999999999E-9</v>
      </c>
      <c r="F11">
        <f>'Bleached kraft paper_Simapro'!B11*Freight_rail_GREET!Q13</f>
        <v>3.534E-6</v>
      </c>
      <c r="G11">
        <f>'Bleached kraft paper_Simapro'!B11*Freight_rail_GREET!Q16</f>
        <v>5.7473999999999989E-8</v>
      </c>
      <c r="H11">
        <f>'Bleached kraft paper_Simapro'!B11*Freight_rail_GREET!Q20</f>
        <v>1.003098E-9</v>
      </c>
      <c r="I11">
        <f>'Bleached kraft paper_Simapro'!B11*Freight_rail_GREET!Q21</f>
        <v>1.8203820000000001E-9</v>
      </c>
    </row>
    <row r="12" spans="1:9" x14ac:dyDescent="0.3">
      <c r="A12" t="s">
        <v>17</v>
      </c>
      <c r="C12">
        <f>'Bleached kraft paper_Simapro'!B12*'HD Truck_GREET'!B5</f>
        <v>1.43189E-4</v>
      </c>
      <c r="D12">
        <f>'Bleached kraft paper_Simapro'!B12*'HD Truck_GREET'!C5</f>
        <v>5.6419999999999993E-9</v>
      </c>
      <c r="E12">
        <f>'Bleached kraft paper_Simapro'!B12*'HD Truck_GREET'!D5</f>
        <v>2.3098100000000002E-10</v>
      </c>
      <c r="F12">
        <f>'Bleached kraft paper_Simapro'!B12*'HD Truck_GREET'!E5</f>
        <v>1.33269E-7</v>
      </c>
      <c r="G12">
        <f>'Bleached kraft paper_Simapro'!B12*'HD Truck_GREET'!F5</f>
        <v>1.3690914248780489E-9</v>
      </c>
      <c r="H12">
        <f>'Bleached kraft paper_Simapro'!B12*'HD Truck_GREET'!G5</f>
        <v>2.45985E-10</v>
      </c>
      <c r="I12">
        <f>'Bleached kraft paper_Simapro'!B12*'HD Truck_GREET'!H5</f>
        <v>4.34E-10</v>
      </c>
    </row>
    <row r="13" spans="1:9" x14ac:dyDescent="0.3">
      <c r="A13" t="s">
        <v>25</v>
      </c>
      <c r="C13">
        <f>SUM(C3:C12)</f>
        <v>1.9250455950266203</v>
      </c>
      <c r="D13">
        <f t="shared" ref="D13:H13" si="0">SUM(D3:D12)</f>
        <v>4.4700731304386197E-3</v>
      </c>
      <c r="E13">
        <f t="shared" si="0"/>
        <v>5.6585240818314537E-5</v>
      </c>
      <c r="F13">
        <f t="shared" si="0"/>
        <v>4.0992125724716106E-3</v>
      </c>
      <c r="G13">
        <f t="shared" si="0"/>
        <v>1.3687841129676638E-2</v>
      </c>
      <c r="H13">
        <f t="shared" si="0"/>
        <v>1.5582245646327935E-4</v>
      </c>
      <c r="I13">
        <f>SUM(I3:I12)</f>
        <v>9.3309781038213716E-5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C6A4-287E-4C8A-93CB-B61DFB8BB31B}">
  <sheetPr codeName="Sheet2"/>
  <dimension ref="A1:C12"/>
  <sheetViews>
    <sheetView workbookViewId="0">
      <selection activeCell="B7" sqref="B7"/>
    </sheetView>
  </sheetViews>
  <sheetFormatPr defaultRowHeight="14.4" x14ac:dyDescent="0.3"/>
  <cols>
    <col min="1" max="1" width="37.5546875" customWidth="1"/>
  </cols>
  <sheetData>
    <row r="1" spans="1:3" x14ac:dyDescent="0.3">
      <c r="A1" t="s">
        <v>0</v>
      </c>
    </row>
    <row r="2" spans="1:3" x14ac:dyDescent="0.3">
      <c r="A2" t="s">
        <v>1</v>
      </c>
      <c r="B2" t="s">
        <v>2</v>
      </c>
      <c r="C2" t="s">
        <v>3</v>
      </c>
    </row>
    <row r="3" spans="1:3" x14ac:dyDescent="0.3">
      <c r="A3" t="s">
        <v>4</v>
      </c>
      <c r="B3">
        <v>1.02</v>
      </c>
      <c r="C3" t="s">
        <v>5</v>
      </c>
    </row>
    <row r="4" spans="1:3" x14ac:dyDescent="0.3">
      <c r="A4" t="s">
        <v>6</v>
      </c>
      <c r="B4">
        <v>2.07E-2</v>
      </c>
      <c r="C4" t="s">
        <v>5</v>
      </c>
    </row>
    <row r="5" spans="1:3" x14ac:dyDescent="0.3">
      <c r="A5" t="s">
        <v>7</v>
      </c>
      <c r="B5">
        <v>7.1999999999999998E-3</v>
      </c>
      <c r="C5" t="s">
        <v>5</v>
      </c>
    </row>
    <row r="6" spans="1:3" x14ac:dyDescent="0.3">
      <c r="A6" t="s">
        <v>8</v>
      </c>
      <c r="B6">
        <v>3.0999999999999999E-3</v>
      </c>
      <c r="C6" t="s">
        <v>5</v>
      </c>
    </row>
    <row r="7" spans="1:3" x14ac:dyDescent="0.3">
      <c r="A7" t="s">
        <v>9</v>
      </c>
      <c r="B7">
        <f>0.396+0.451</f>
        <v>0.84699999999999998</v>
      </c>
      <c r="C7" t="s">
        <v>10</v>
      </c>
    </row>
    <row r="8" spans="1:3" x14ac:dyDescent="0.3">
      <c r="A8" t="s">
        <v>11</v>
      </c>
      <c r="B8">
        <v>0.11899999999999999</v>
      </c>
      <c r="C8" t="s">
        <v>12</v>
      </c>
    </row>
    <row r="9" spans="1:3" x14ac:dyDescent="0.3">
      <c r="A9" t="s">
        <v>13</v>
      </c>
      <c r="B9">
        <v>7.73</v>
      </c>
      <c r="C9" t="s">
        <v>12</v>
      </c>
    </row>
    <row r="10" spans="1:3" x14ac:dyDescent="0.3">
      <c r="A10" t="s">
        <v>14</v>
      </c>
      <c r="B10">
        <v>0.24</v>
      </c>
      <c r="C10" t="s">
        <v>12</v>
      </c>
    </row>
    <row r="11" spans="1:3" x14ac:dyDescent="0.3">
      <c r="A11" t="s">
        <v>15</v>
      </c>
      <c r="B11">
        <v>1.8599999999999998E-2</v>
      </c>
      <c r="C11" t="s">
        <v>16</v>
      </c>
    </row>
    <row r="12" spans="1:3" x14ac:dyDescent="0.3">
      <c r="A12" t="s">
        <v>17</v>
      </c>
      <c r="B12">
        <f>0.0031</f>
        <v>3.0999999999999999E-3</v>
      </c>
      <c r="C12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D664-51AB-4507-A834-C83711F0D1B7}">
  <sheetPr codeName="Sheet4"/>
  <dimension ref="A1:I72"/>
  <sheetViews>
    <sheetView workbookViewId="0">
      <selection activeCell="L20" sqref="L20"/>
    </sheetView>
  </sheetViews>
  <sheetFormatPr defaultRowHeight="14.4" x14ac:dyDescent="0.3"/>
  <sheetData>
    <row r="1" spans="1:9" x14ac:dyDescent="0.3">
      <c r="A1" t="s">
        <v>26</v>
      </c>
      <c r="G1" t="s">
        <v>27</v>
      </c>
    </row>
    <row r="2" spans="1:9" x14ac:dyDescent="0.3">
      <c r="A2" t="s">
        <v>28</v>
      </c>
      <c r="G2" t="s">
        <v>28</v>
      </c>
    </row>
    <row r="3" spans="1:9" x14ac:dyDescent="0.3">
      <c r="A3" t="s">
        <v>29</v>
      </c>
      <c r="G3" t="s">
        <v>29</v>
      </c>
    </row>
    <row r="4" spans="1:9" x14ac:dyDescent="0.3">
      <c r="A4" t="s">
        <v>28</v>
      </c>
      <c r="G4" t="s">
        <v>28</v>
      </c>
    </row>
    <row r="5" spans="1:9" x14ac:dyDescent="0.3">
      <c r="A5" t="s">
        <v>30</v>
      </c>
      <c r="B5">
        <v>0.14000000000000001</v>
      </c>
      <c r="C5" t="s">
        <v>5</v>
      </c>
      <c r="G5" t="s">
        <v>30</v>
      </c>
      <c r="H5">
        <v>0.51</v>
      </c>
      <c r="I5" t="s">
        <v>5</v>
      </c>
    </row>
    <row r="6" spans="1:9" x14ac:dyDescent="0.3">
      <c r="A6" t="s">
        <v>18</v>
      </c>
      <c r="B6" s="1">
        <v>0.14000000000000001</v>
      </c>
      <c r="C6" t="s">
        <v>5</v>
      </c>
      <c r="G6" t="s">
        <v>18</v>
      </c>
      <c r="H6">
        <v>0.52</v>
      </c>
      <c r="I6" t="s">
        <v>5</v>
      </c>
    </row>
    <row r="7" spans="1:9" x14ac:dyDescent="0.3">
      <c r="A7" t="s">
        <v>31</v>
      </c>
      <c r="B7" s="2" t="e">
        <f>#REF!*10^3*#REF!+#REF!*#REF!*10^-6+#REF!*'HD Truck_GREET'!E5+#REF!*'Electricity US Mix_GREET'!H10*10^-3+#REF!*'Oil-fired electricity_GREET'!B15*10^-6</f>
        <v>#REF!</v>
      </c>
      <c r="C7" t="s">
        <v>5</v>
      </c>
      <c r="G7" t="s">
        <v>31</v>
      </c>
      <c r="H7">
        <v>-0.01</v>
      </c>
      <c r="I7" t="s">
        <v>5</v>
      </c>
    </row>
    <row r="8" spans="1:9" x14ac:dyDescent="0.3">
      <c r="A8" t="s">
        <v>32</v>
      </c>
      <c r="B8">
        <v>15.43</v>
      </c>
      <c r="C8" t="s">
        <v>33</v>
      </c>
      <c r="G8" t="s">
        <v>32</v>
      </c>
      <c r="H8">
        <v>55.57</v>
      </c>
      <c r="I8" t="s">
        <v>33</v>
      </c>
    </row>
    <row r="9" spans="1:9" x14ac:dyDescent="0.3">
      <c r="A9" t="s">
        <v>34</v>
      </c>
      <c r="B9">
        <v>46.25</v>
      </c>
      <c r="C9" t="s">
        <v>33</v>
      </c>
      <c r="G9" t="s">
        <v>34</v>
      </c>
      <c r="H9">
        <v>0.17</v>
      </c>
      <c r="I9" t="s">
        <v>35</v>
      </c>
    </row>
    <row r="10" spans="1:9" x14ac:dyDescent="0.3">
      <c r="A10" t="s">
        <v>21</v>
      </c>
      <c r="B10">
        <v>0.18</v>
      </c>
      <c r="C10" t="s">
        <v>35</v>
      </c>
      <c r="G10" t="s">
        <v>21</v>
      </c>
      <c r="H10">
        <v>0.36</v>
      </c>
      <c r="I10" t="s">
        <v>35</v>
      </c>
    </row>
    <row r="11" spans="1:9" x14ac:dyDescent="0.3">
      <c r="A11" t="s">
        <v>36</v>
      </c>
      <c r="B11">
        <v>44.97</v>
      </c>
      <c r="C11" t="s">
        <v>33</v>
      </c>
      <c r="G11" t="s">
        <v>36</v>
      </c>
      <c r="H11">
        <v>67.27</v>
      </c>
      <c r="I11" t="s">
        <v>33</v>
      </c>
    </row>
    <row r="12" spans="1:9" x14ac:dyDescent="0.3">
      <c r="A12" t="s">
        <v>37</v>
      </c>
      <c r="B12">
        <v>25.23</v>
      </c>
      <c r="C12" t="s">
        <v>33</v>
      </c>
      <c r="G12" t="s">
        <v>37</v>
      </c>
      <c r="H12">
        <v>28.78</v>
      </c>
      <c r="I12" t="s">
        <v>33</v>
      </c>
    </row>
    <row r="13" spans="1:9" x14ac:dyDescent="0.3">
      <c r="A13" t="s">
        <v>22</v>
      </c>
      <c r="B13">
        <v>0.36</v>
      </c>
      <c r="C13" t="s">
        <v>35</v>
      </c>
      <c r="G13" t="s">
        <v>22</v>
      </c>
      <c r="H13">
        <v>0.94</v>
      </c>
      <c r="I13" t="s">
        <v>35</v>
      </c>
    </row>
    <row r="14" spans="1:9" x14ac:dyDescent="0.3">
      <c r="A14" t="s">
        <v>19</v>
      </c>
      <c r="B14">
        <v>0.24</v>
      </c>
      <c r="C14" t="s">
        <v>35</v>
      </c>
      <c r="G14" t="s">
        <v>19</v>
      </c>
      <c r="H14">
        <v>0.98</v>
      </c>
      <c r="I14" t="s">
        <v>35</v>
      </c>
    </row>
    <row r="15" spans="1:9" x14ac:dyDescent="0.3">
      <c r="A15" t="s">
        <v>20</v>
      </c>
      <c r="B15">
        <v>2.2400000000000002</v>
      </c>
      <c r="C15" t="s">
        <v>33</v>
      </c>
      <c r="G15" t="s">
        <v>20</v>
      </c>
      <c r="H15">
        <v>8.0399999999999991</v>
      </c>
      <c r="I15" t="s">
        <v>33</v>
      </c>
    </row>
    <row r="16" spans="1:9" x14ac:dyDescent="0.3">
      <c r="A16" t="s">
        <v>23</v>
      </c>
      <c r="B16">
        <v>1.32</v>
      </c>
      <c r="C16" t="s">
        <v>33</v>
      </c>
      <c r="G16" t="s">
        <v>23</v>
      </c>
      <c r="H16">
        <v>2.2799999999999998</v>
      </c>
      <c r="I16" t="s">
        <v>33</v>
      </c>
    </row>
    <row r="17" spans="1:9" x14ac:dyDescent="0.3">
      <c r="A17" t="s">
        <v>38</v>
      </c>
      <c r="B17">
        <v>2.72</v>
      </c>
      <c r="C17" t="s">
        <v>33</v>
      </c>
      <c r="G17" t="s">
        <v>38</v>
      </c>
      <c r="H17">
        <v>5.22</v>
      </c>
      <c r="I17" t="s">
        <v>33</v>
      </c>
    </row>
    <row r="18" spans="1:9" x14ac:dyDescent="0.3">
      <c r="A18" t="s">
        <v>39</v>
      </c>
      <c r="G18" t="s">
        <v>39</v>
      </c>
    </row>
    <row r="19" spans="1:9" x14ac:dyDescent="0.3">
      <c r="A19" t="s">
        <v>40</v>
      </c>
      <c r="B19">
        <v>0.15</v>
      </c>
      <c r="C19" t="s">
        <v>5</v>
      </c>
      <c r="G19" t="s">
        <v>41</v>
      </c>
      <c r="H19">
        <v>0.54</v>
      </c>
      <c r="I19" t="s">
        <v>5</v>
      </c>
    </row>
    <row r="20" spans="1:9" x14ac:dyDescent="0.3">
      <c r="A20" t="s">
        <v>42</v>
      </c>
      <c r="G20" t="s">
        <v>42</v>
      </c>
    </row>
    <row r="21" spans="1:9" x14ac:dyDescent="0.3">
      <c r="A21" t="s">
        <v>43</v>
      </c>
      <c r="B21">
        <v>0</v>
      </c>
      <c r="C21" t="s">
        <v>44</v>
      </c>
      <c r="G21" t="s">
        <v>43</v>
      </c>
      <c r="H21">
        <v>0</v>
      </c>
      <c r="I21" t="s">
        <v>44</v>
      </c>
    </row>
    <row r="22" spans="1:9" x14ac:dyDescent="0.3">
      <c r="A22" t="s">
        <v>45</v>
      </c>
      <c r="G22" t="s">
        <v>45</v>
      </c>
    </row>
    <row r="23" spans="1:9" x14ac:dyDescent="0.3">
      <c r="A23" t="s">
        <v>29</v>
      </c>
      <c r="G23" t="s">
        <v>29</v>
      </c>
    </row>
    <row r="24" spans="1:9" x14ac:dyDescent="0.3">
      <c r="A24" t="s">
        <v>45</v>
      </c>
      <c r="B24">
        <v>2078</v>
      </c>
      <c r="C24" t="s">
        <v>46</v>
      </c>
      <c r="G24" t="s">
        <v>45</v>
      </c>
      <c r="H24">
        <v>7846</v>
      </c>
      <c r="I24" t="s">
        <v>46</v>
      </c>
    </row>
    <row r="25" spans="1:9" x14ac:dyDescent="0.3">
      <c r="A25" t="s">
        <v>47</v>
      </c>
      <c r="B25">
        <v>1163.32</v>
      </c>
      <c r="C25" t="s">
        <v>48</v>
      </c>
      <c r="G25" t="s">
        <v>47</v>
      </c>
      <c r="H25">
        <v>2427.79</v>
      </c>
      <c r="I25" t="s">
        <v>48</v>
      </c>
    </row>
    <row r="26" spans="1:9" x14ac:dyDescent="0.3">
      <c r="A26" t="s">
        <v>49</v>
      </c>
      <c r="B26">
        <v>711.82</v>
      </c>
      <c r="C26" t="s">
        <v>48</v>
      </c>
      <c r="G26" t="s">
        <v>49</v>
      </c>
      <c r="H26">
        <v>1159.92</v>
      </c>
      <c r="I26" t="s">
        <v>48</v>
      </c>
    </row>
    <row r="27" spans="1:9" x14ac:dyDescent="0.3">
      <c r="A27" t="s">
        <v>50</v>
      </c>
      <c r="B27">
        <v>416.33</v>
      </c>
      <c r="C27" t="s">
        <v>48</v>
      </c>
      <c r="G27" t="s">
        <v>50</v>
      </c>
      <c r="H27">
        <v>1145.3699999999999</v>
      </c>
      <c r="I27" t="s">
        <v>48</v>
      </c>
    </row>
    <row r="28" spans="1:9" x14ac:dyDescent="0.3">
      <c r="A28" t="s">
        <v>51</v>
      </c>
      <c r="B28">
        <v>25.11</v>
      </c>
      <c r="C28" t="s">
        <v>48</v>
      </c>
      <c r="G28" t="s">
        <v>51</v>
      </c>
      <c r="H28">
        <v>83.36</v>
      </c>
      <c r="I28" t="s">
        <v>48</v>
      </c>
    </row>
    <row r="29" spans="1:9" x14ac:dyDescent="0.3">
      <c r="A29" t="s">
        <v>52</v>
      </c>
      <c r="B29">
        <v>10.050000000000001</v>
      </c>
      <c r="C29" t="s">
        <v>48</v>
      </c>
      <c r="G29" t="s">
        <v>52</v>
      </c>
      <c r="H29">
        <v>39.15</v>
      </c>
      <c r="I29" t="s">
        <v>48</v>
      </c>
    </row>
    <row r="30" spans="1:9" x14ac:dyDescent="0.3">
      <c r="A30" t="s">
        <v>53</v>
      </c>
      <c r="B30">
        <v>27.41</v>
      </c>
      <c r="C30" t="s">
        <v>46</v>
      </c>
      <c r="G30" t="s">
        <v>53</v>
      </c>
      <c r="H30">
        <v>106.65</v>
      </c>
      <c r="I30" t="s">
        <v>46</v>
      </c>
    </row>
    <row r="31" spans="1:9" x14ac:dyDescent="0.3">
      <c r="A31" t="s">
        <v>54</v>
      </c>
      <c r="B31">
        <v>579.51</v>
      </c>
      <c r="C31" t="s">
        <v>46</v>
      </c>
      <c r="G31" t="s">
        <v>54</v>
      </c>
      <c r="H31">
        <v>2673</v>
      </c>
      <c r="I31" t="s">
        <v>46</v>
      </c>
    </row>
    <row r="32" spans="1:9" x14ac:dyDescent="0.3">
      <c r="A32" t="s">
        <v>55</v>
      </c>
      <c r="B32">
        <v>1118</v>
      </c>
      <c r="C32" t="s">
        <v>46</v>
      </c>
      <c r="G32" t="s">
        <v>55</v>
      </c>
      <c r="H32">
        <v>3676</v>
      </c>
      <c r="I32" t="s">
        <v>46</v>
      </c>
    </row>
    <row r="33" spans="1:9" x14ac:dyDescent="0.3">
      <c r="A33" t="s">
        <v>56</v>
      </c>
      <c r="B33">
        <v>13.38</v>
      </c>
      <c r="C33" t="s">
        <v>46</v>
      </c>
      <c r="G33" t="s">
        <v>56</v>
      </c>
      <c r="H33">
        <v>64.709999999999994</v>
      </c>
      <c r="I33" t="s">
        <v>46</v>
      </c>
    </row>
    <row r="34" spans="1:9" x14ac:dyDescent="0.3">
      <c r="A34" t="s">
        <v>57</v>
      </c>
      <c r="B34">
        <v>47.71</v>
      </c>
      <c r="C34" t="s">
        <v>58</v>
      </c>
      <c r="G34" t="s">
        <v>57</v>
      </c>
      <c r="H34">
        <v>204.61</v>
      </c>
      <c r="I34" t="s">
        <v>58</v>
      </c>
    </row>
    <row r="35" spans="1:9" x14ac:dyDescent="0.3">
      <c r="A35" t="s">
        <v>59</v>
      </c>
      <c r="B35">
        <v>5038.33</v>
      </c>
      <c r="C35" t="s">
        <v>58</v>
      </c>
      <c r="G35" t="s">
        <v>59</v>
      </c>
      <c r="H35">
        <v>17.850000000000001</v>
      </c>
      <c r="I35" t="s">
        <v>46</v>
      </c>
    </row>
    <row r="36" spans="1:9" x14ac:dyDescent="0.3">
      <c r="A36" t="s">
        <v>60</v>
      </c>
      <c r="B36">
        <v>1.87</v>
      </c>
      <c r="C36" t="s">
        <v>33</v>
      </c>
      <c r="G36" t="s">
        <v>60</v>
      </c>
      <c r="H36">
        <v>7.46</v>
      </c>
      <c r="I36" t="s">
        <v>33</v>
      </c>
    </row>
    <row r="37" spans="1:9" x14ac:dyDescent="0.3">
      <c r="A37" t="s">
        <v>61</v>
      </c>
      <c r="B37">
        <v>68.73</v>
      </c>
      <c r="C37" t="s">
        <v>46</v>
      </c>
      <c r="G37" t="s">
        <v>61</v>
      </c>
      <c r="H37">
        <v>250.14</v>
      </c>
      <c r="I37" t="s">
        <v>46</v>
      </c>
    </row>
    <row r="38" spans="1:9" x14ac:dyDescent="0.3">
      <c r="A38" t="s">
        <v>62</v>
      </c>
      <c r="B38">
        <v>197.18</v>
      </c>
      <c r="C38" t="s">
        <v>46</v>
      </c>
      <c r="G38" t="s">
        <v>62</v>
      </c>
      <c r="H38">
        <v>787.3</v>
      </c>
      <c r="I38" t="s">
        <v>46</v>
      </c>
    </row>
    <row r="39" spans="1:9" x14ac:dyDescent="0.3">
      <c r="A39" t="s">
        <v>63</v>
      </c>
      <c r="B39">
        <v>4298.76</v>
      </c>
      <c r="C39" t="s">
        <v>58</v>
      </c>
      <c r="G39" t="s">
        <v>63</v>
      </c>
      <c r="H39">
        <v>15.66</v>
      </c>
      <c r="I39" t="s">
        <v>46</v>
      </c>
    </row>
    <row r="40" spans="1:9" x14ac:dyDescent="0.3">
      <c r="A40" t="s">
        <v>64</v>
      </c>
      <c r="B40">
        <v>5745.98</v>
      </c>
      <c r="C40" t="s">
        <v>58</v>
      </c>
      <c r="G40" t="s">
        <v>64</v>
      </c>
      <c r="H40">
        <v>24.11</v>
      </c>
      <c r="I40" t="s">
        <v>46</v>
      </c>
    </row>
    <row r="41" spans="1:9" x14ac:dyDescent="0.3">
      <c r="A41" t="s">
        <v>65</v>
      </c>
      <c r="B41">
        <v>48.96</v>
      </c>
      <c r="C41" t="s">
        <v>46</v>
      </c>
      <c r="G41" t="s">
        <v>65</v>
      </c>
      <c r="H41">
        <v>188.24</v>
      </c>
      <c r="I41" t="s">
        <v>46</v>
      </c>
    </row>
    <row r="42" spans="1:9" x14ac:dyDescent="0.3">
      <c r="A42" t="s">
        <v>66</v>
      </c>
      <c r="B42">
        <v>4136.67</v>
      </c>
      <c r="C42" t="s">
        <v>58</v>
      </c>
      <c r="G42" t="s">
        <v>66</v>
      </c>
      <c r="H42">
        <v>17.28</v>
      </c>
      <c r="I42" t="s">
        <v>46</v>
      </c>
    </row>
    <row r="43" spans="1:9" x14ac:dyDescent="0.3">
      <c r="A43" t="s">
        <v>67</v>
      </c>
      <c r="B43">
        <v>2851.47</v>
      </c>
      <c r="C43" t="s">
        <v>58</v>
      </c>
      <c r="G43" t="s">
        <v>67</v>
      </c>
      <c r="H43">
        <v>11.67</v>
      </c>
      <c r="I43" t="s">
        <v>46</v>
      </c>
    </row>
    <row r="44" spans="1:9" x14ac:dyDescent="0.3">
      <c r="A44" t="s">
        <v>68</v>
      </c>
      <c r="B44">
        <v>3430.95</v>
      </c>
      <c r="C44" t="s">
        <v>58</v>
      </c>
      <c r="G44" t="s">
        <v>68</v>
      </c>
      <c r="H44">
        <v>14.05</v>
      </c>
      <c r="I44" t="s">
        <v>46</v>
      </c>
    </row>
    <row r="45" spans="1:9" x14ac:dyDescent="0.3">
      <c r="A45" t="s">
        <v>39</v>
      </c>
      <c r="B45" t="s">
        <v>69</v>
      </c>
      <c r="G45" t="s">
        <v>39</v>
      </c>
      <c r="H45" t="s">
        <v>69</v>
      </c>
    </row>
    <row r="46" spans="1:9" x14ac:dyDescent="0.3">
      <c r="A46" t="s">
        <v>70</v>
      </c>
      <c r="B46">
        <v>1735</v>
      </c>
      <c r="C46" t="s">
        <v>46</v>
      </c>
      <c r="G46" t="s">
        <v>70</v>
      </c>
      <c r="H46">
        <v>6498</v>
      </c>
      <c r="I46" t="s">
        <v>46</v>
      </c>
    </row>
    <row r="47" spans="1:9" x14ac:dyDescent="0.3">
      <c r="A47" t="s">
        <v>71</v>
      </c>
      <c r="B47">
        <v>1118</v>
      </c>
      <c r="C47" t="s">
        <v>46</v>
      </c>
      <c r="G47" t="s">
        <v>71</v>
      </c>
      <c r="H47">
        <v>3676</v>
      </c>
      <c r="I47" t="s">
        <v>46</v>
      </c>
    </row>
    <row r="48" spans="1:9" x14ac:dyDescent="0.3">
      <c r="A48" t="s">
        <v>72</v>
      </c>
      <c r="B48">
        <v>579.51</v>
      </c>
      <c r="C48" t="s">
        <v>46</v>
      </c>
      <c r="G48" t="s">
        <v>72</v>
      </c>
      <c r="H48">
        <v>2673</v>
      </c>
      <c r="I48" t="s">
        <v>46</v>
      </c>
    </row>
    <row r="49" spans="1:9" x14ac:dyDescent="0.3">
      <c r="A49" t="s">
        <v>73</v>
      </c>
      <c r="B49">
        <v>343.33</v>
      </c>
      <c r="C49" t="s">
        <v>46</v>
      </c>
      <c r="G49" t="s">
        <v>73</v>
      </c>
      <c r="H49">
        <v>1348</v>
      </c>
      <c r="I49" t="s">
        <v>46</v>
      </c>
    </row>
    <row r="50" spans="1:9" x14ac:dyDescent="0.3">
      <c r="A50" t="s">
        <v>74</v>
      </c>
      <c r="B50">
        <v>197.18</v>
      </c>
      <c r="C50" t="s">
        <v>46</v>
      </c>
      <c r="G50" t="s">
        <v>74</v>
      </c>
      <c r="H50">
        <v>787.3</v>
      </c>
      <c r="I50" t="s">
        <v>46</v>
      </c>
    </row>
    <row r="51" spans="1:9" x14ac:dyDescent="0.3">
      <c r="A51" t="s">
        <v>75</v>
      </c>
      <c r="B51">
        <v>146.15</v>
      </c>
      <c r="C51" t="s">
        <v>46</v>
      </c>
      <c r="G51" t="s">
        <v>75</v>
      </c>
      <c r="H51">
        <v>560.71</v>
      </c>
      <c r="I51" t="s">
        <v>46</v>
      </c>
    </row>
    <row r="52" spans="1:9" x14ac:dyDescent="0.3">
      <c r="A52" t="s">
        <v>76</v>
      </c>
      <c r="B52">
        <v>37.880000000000003</v>
      </c>
      <c r="C52" t="s">
        <v>46</v>
      </c>
      <c r="G52" t="s">
        <v>76</v>
      </c>
      <c r="H52">
        <v>149.85</v>
      </c>
      <c r="I52" t="s">
        <v>46</v>
      </c>
    </row>
    <row r="53" spans="1:9" x14ac:dyDescent="0.3">
      <c r="A53" t="s">
        <v>77</v>
      </c>
      <c r="B53">
        <v>13.38</v>
      </c>
      <c r="C53" t="s">
        <v>46</v>
      </c>
      <c r="G53" t="s">
        <v>77</v>
      </c>
      <c r="H53">
        <v>64.709999999999994</v>
      </c>
      <c r="I53" t="s">
        <v>46</v>
      </c>
    </row>
    <row r="54" spans="1:9" x14ac:dyDescent="0.3">
      <c r="A54" t="s">
        <v>78</v>
      </c>
      <c r="G54" t="s">
        <v>79</v>
      </c>
      <c r="H54">
        <v>2427.79</v>
      </c>
      <c r="I54" t="s">
        <v>48</v>
      </c>
    </row>
    <row r="55" spans="1:9" x14ac:dyDescent="0.3">
      <c r="A55" t="s">
        <v>29</v>
      </c>
      <c r="G55" t="s">
        <v>78</v>
      </c>
    </row>
    <row r="56" spans="1:9" x14ac:dyDescent="0.3">
      <c r="A56" t="s">
        <v>28</v>
      </c>
      <c r="G56" t="s">
        <v>29</v>
      </c>
    </row>
    <row r="57" spans="1:9" x14ac:dyDescent="0.3">
      <c r="A57" t="s">
        <v>30</v>
      </c>
      <c r="B57">
        <v>49.86</v>
      </c>
      <c r="C57" t="s">
        <v>35</v>
      </c>
      <c r="G57" t="s">
        <v>28</v>
      </c>
    </row>
    <row r="58" spans="1:9" x14ac:dyDescent="0.3">
      <c r="A58" t="s">
        <v>18</v>
      </c>
      <c r="B58">
        <v>50.14</v>
      </c>
      <c r="C58" t="s">
        <v>35</v>
      </c>
      <c r="G58" t="s">
        <v>30</v>
      </c>
      <c r="H58">
        <v>0.18</v>
      </c>
      <c r="I58" t="s">
        <v>5</v>
      </c>
    </row>
    <row r="59" spans="1:9" x14ac:dyDescent="0.3">
      <c r="A59" t="s">
        <v>31</v>
      </c>
      <c r="B59" s="2">
        <v>-2.81E-4</v>
      </c>
      <c r="C59" t="s">
        <v>5</v>
      </c>
      <c r="G59" t="s">
        <v>18</v>
      </c>
      <c r="H59">
        <v>0.18</v>
      </c>
      <c r="I59" t="s">
        <v>5</v>
      </c>
    </row>
    <row r="60" spans="1:9" x14ac:dyDescent="0.3">
      <c r="A60" t="s">
        <v>32</v>
      </c>
      <c r="B60">
        <v>1.26</v>
      </c>
      <c r="C60" t="s">
        <v>33</v>
      </c>
      <c r="G60" t="s">
        <v>31</v>
      </c>
      <c r="H60">
        <v>0</v>
      </c>
      <c r="I60" t="s">
        <v>5</v>
      </c>
    </row>
    <row r="61" spans="1:9" x14ac:dyDescent="0.3">
      <c r="A61" t="s">
        <v>34</v>
      </c>
      <c r="B61">
        <v>10.93</v>
      </c>
      <c r="C61" t="s">
        <v>33</v>
      </c>
      <c r="G61" t="s">
        <v>32</v>
      </c>
      <c r="H61">
        <v>4.09</v>
      </c>
      <c r="I61" t="s">
        <v>33</v>
      </c>
    </row>
    <row r="62" spans="1:9" x14ac:dyDescent="0.3">
      <c r="A62" t="s">
        <v>21</v>
      </c>
      <c r="B62">
        <v>53.35</v>
      </c>
      <c r="C62" t="s">
        <v>33</v>
      </c>
      <c r="G62" t="s">
        <v>34</v>
      </c>
      <c r="H62">
        <v>35.03</v>
      </c>
      <c r="I62" t="s">
        <v>33</v>
      </c>
    </row>
    <row r="63" spans="1:9" x14ac:dyDescent="0.3">
      <c r="A63" t="s">
        <v>36</v>
      </c>
      <c r="B63">
        <v>13.08</v>
      </c>
      <c r="C63" t="s">
        <v>33</v>
      </c>
      <c r="G63" t="s">
        <v>21</v>
      </c>
      <c r="H63">
        <v>81.209999999999994</v>
      </c>
      <c r="I63" t="s">
        <v>33</v>
      </c>
    </row>
    <row r="64" spans="1:9" x14ac:dyDescent="0.3">
      <c r="A64" t="s">
        <v>37</v>
      </c>
      <c r="B64">
        <v>8.74</v>
      </c>
      <c r="C64" t="s">
        <v>33</v>
      </c>
      <c r="G64" t="s">
        <v>36</v>
      </c>
      <c r="H64">
        <v>11.7</v>
      </c>
      <c r="I64" t="s">
        <v>33</v>
      </c>
    </row>
    <row r="65" spans="1:9" x14ac:dyDescent="0.3">
      <c r="A65" t="s">
        <v>22</v>
      </c>
      <c r="B65">
        <v>0.13</v>
      </c>
      <c r="C65" t="s">
        <v>35</v>
      </c>
      <c r="G65" t="s">
        <v>37</v>
      </c>
      <c r="H65">
        <v>7.8</v>
      </c>
      <c r="I65" t="s">
        <v>33</v>
      </c>
    </row>
    <row r="66" spans="1:9" x14ac:dyDescent="0.3">
      <c r="A66" t="s">
        <v>19</v>
      </c>
      <c r="B66">
        <v>1.94</v>
      </c>
      <c r="C66" t="s">
        <v>33</v>
      </c>
      <c r="G66" t="s">
        <v>22</v>
      </c>
      <c r="H66">
        <v>0.33</v>
      </c>
      <c r="I66" t="s">
        <v>35</v>
      </c>
    </row>
    <row r="67" spans="1:9" x14ac:dyDescent="0.3">
      <c r="A67" t="s">
        <v>20</v>
      </c>
      <c r="B67">
        <v>0.73</v>
      </c>
      <c r="C67" t="s">
        <v>33</v>
      </c>
      <c r="G67" t="s">
        <v>19</v>
      </c>
      <c r="H67">
        <v>9.56</v>
      </c>
      <c r="I67" t="s">
        <v>33</v>
      </c>
    </row>
    <row r="68" spans="1:9" x14ac:dyDescent="0.3">
      <c r="A68" t="s">
        <v>23</v>
      </c>
      <c r="B68">
        <v>0.41</v>
      </c>
      <c r="C68" t="s">
        <v>33</v>
      </c>
      <c r="G68" t="s">
        <v>20</v>
      </c>
      <c r="H68">
        <v>2.4900000000000002</v>
      </c>
      <c r="I68" t="s">
        <v>33</v>
      </c>
    </row>
    <row r="69" spans="1:9" x14ac:dyDescent="0.3">
      <c r="A69" t="s">
        <v>38</v>
      </c>
      <c r="B69">
        <v>0.86</v>
      </c>
      <c r="C69" t="s">
        <v>33</v>
      </c>
      <c r="G69" t="s">
        <v>23</v>
      </c>
      <c r="H69">
        <v>0.51</v>
      </c>
      <c r="I69" t="s">
        <v>33</v>
      </c>
    </row>
    <row r="70" spans="1:9" x14ac:dyDescent="0.3">
      <c r="A70" t="s">
        <v>39</v>
      </c>
      <c r="G70" t="s">
        <v>38</v>
      </c>
      <c r="H70">
        <v>1.3</v>
      </c>
      <c r="I70" t="s">
        <v>33</v>
      </c>
    </row>
    <row r="71" spans="1:9" x14ac:dyDescent="0.3">
      <c r="A71" t="s">
        <v>40</v>
      </c>
      <c r="B71">
        <v>50.13</v>
      </c>
      <c r="C71" t="s">
        <v>35</v>
      </c>
      <c r="G71" t="s">
        <v>39</v>
      </c>
    </row>
    <row r="72" spans="1:9" x14ac:dyDescent="0.3">
      <c r="G72" t="s">
        <v>41</v>
      </c>
      <c r="H72">
        <v>0.18</v>
      </c>
      <c r="I72" t="s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AE08-F397-40E3-8E81-88C41D077DA6}">
  <sheetPr codeName="Sheet61"/>
  <dimension ref="A1:C71"/>
  <sheetViews>
    <sheetView workbookViewId="0">
      <selection activeCell="B5" sqref="B5"/>
    </sheetView>
  </sheetViews>
  <sheetFormatPr defaultRowHeight="14.4" x14ac:dyDescent="0.3"/>
  <sheetData>
    <row r="1" spans="1:3" x14ac:dyDescent="0.3">
      <c r="A1" t="s">
        <v>582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4.68</v>
      </c>
      <c r="C5" t="s">
        <v>35</v>
      </c>
    </row>
    <row r="6" spans="1:3" x14ac:dyDescent="0.3">
      <c r="A6" t="s">
        <v>18</v>
      </c>
      <c r="B6">
        <v>4.68</v>
      </c>
      <c r="C6" t="s">
        <v>35</v>
      </c>
    </row>
    <row r="7" spans="1:3" x14ac:dyDescent="0.3">
      <c r="A7" t="s">
        <v>31</v>
      </c>
      <c r="B7" s="2">
        <v>-1.55E-6</v>
      </c>
      <c r="C7" t="s">
        <v>5</v>
      </c>
    </row>
    <row r="8" spans="1:3" x14ac:dyDescent="0.3">
      <c r="A8" t="s">
        <v>32</v>
      </c>
      <c r="B8">
        <v>6.15</v>
      </c>
      <c r="C8" t="s">
        <v>33</v>
      </c>
    </row>
    <row r="9" spans="1:3" x14ac:dyDescent="0.3">
      <c r="A9" t="s">
        <v>34</v>
      </c>
      <c r="B9">
        <v>11.79</v>
      </c>
      <c r="C9" t="s">
        <v>33</v>
      </c>
    </row>
    <row r="10" spans="1:3" x14ac:dyDescent="0.3">
      <c r="A10" t="s">
        <v>21</v>
      </c>
      <c r="B10">
        <v>16.13</v>
      </c>
      <c r="C10" t="s">
        <v>33</v>
      </c>
    </row>
    <row r="11" spans="1:3" x14ac:dyDescent="0.3">
      <c r="A11" t="s">
        <v>36</v>
      </c>
      <c r="B11">
        <v>0.46</v>
      </c>
      <c r="C11" t="s">
        <v>33</v>
      </c>
    </row>
    <row r="12" spans="1:3" x14ac:dyDescent="0.3">
      <c r="A12" t="s">
        <v>37</v>
      </c>
      <c r="B12">
        <v>0.4</v>
      </c>
      <c r="C12" t="s">
        <v>33</v>
      </c>
    </row>
    <row r="13" spans="1:3" x14ac:dyDescent="0.3">
      <c r="A13" t="s">
        <v>22</v>
      </c>
      <c r="B13">
        <v>10.59</v>
      </c>
      <c r="C13" t="s">
        <v>33</v>
      </c>
    </row>
    <row r="14" spans="1:3" x14ac:dyDescent="0.3">
      <c r="A14" t="s">
        <v>19</v>
      </c>
      <c r="B14">
        <v>0.15</v>
      </c>
      <c r="C14" t="s">
        <v>35</v>
      </c>
    </row>
    <row r="15" spans="1:3" x14ac:dyDescent="0.3">
      <c r="A15" t="s">
        <v>20</v>
      </c>
      <c r="B15">
        <v>33.1</v>
      </c>
      <c r="C15" t="s">
        <v>95</v>
      </c>
    </row>
    <row r="16" spans="1:3" x14ac:dyDescent="0.3">
      <c r="A16" t="s">
        <v>23</v>
      </c>
      <c r="B16">
        <v>0.14000000000000001</v>
      </c>
      <c r="C16" t="s">
        <v>33</v>
      </c>
    </row>
    <row r="17" spans="1:3" x14ac:dyDescent="0.3">
      <c r="A17" t="s">
        <v>38</v>
      </c>
      <c r="B17">
        <v>0.13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40</v>
      </c>
      <c r="B19">
        <v>7.57</v>
      </c>
      <c r="C19" t="s">
        <v>35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1072</v>
      </c>
      <c r="C24" t="s">
        <v>46</v>
      </c>
    </row>
    <row r="25" spans="1:3" x14ac:dyDescent="0.3">
      <c r="A25" t="s">
        <v>47</v>
      </c>
      <c r="B25">
        <v>8.64</v>
      </c>
      <c r="C25" t="s">
        <v>48</v>
      </c>
    </row>
    <row r="26" spans="1:3" x14ac:dyDescent="0.3">
      <c r="A26" t="s">
        <v>52</v>
      </c>
      <c r="B26">
        <v>6.54</v>
      </c>
      <c r="C26" t="s">
        <v>48</v>
      </c>
    </row>
    <row r="27" spans="1:3" x14ac:dyDescent="0.3">
      <c r="A27" t="s">
        <v>49</v>
      </c>
      <c r="B27">
        <v>0.9</v>
      </c>
      <c r="C27" t="s">
        <v>48</v>
      </c>
    </row>
    <row r="28" spans="1:3" x14ac:dyDescent="0.3">
      <c r="A28" t="s">
        <v>51</v>
      </c>
      <c r="B28">
        <v>0.68</v>
      </c>
      <c r="C28" t="s">
        <v>48</v>
      </c>
    </row>
    <row r="29" spans="1:3" x14ac:dyDescent="0.3">
      <c r="A29" t="s">
        <v>50</v>
      </c>
      <c r="B29">
        <v>0.53</v>
      </c>
      <c r="C29" t="s">
        <v>48</v>
      </c>
    </row>
    <row r="30" spans="1:3" x14ac:dyDescent="0.3">
      <c r="A30" t="s">
        <v>53</v>
      </c>
      <c r="B30">
        <v>2920.59</v>
      </c>
      <c r="C30" t="s">
        <v>58</v>
      </c>
    </row>
    <row r="31" spans="1:3" x14ac:dyDescent="0.3">
      <c r="A31" t="s">
        <v>54</v>
      </c>
      <c r="B31">
        <v>1066</v>
      </c>
      <c r="C31" t="s">
        <v>46</v>
      </c>
    </row>
    <row r="32" spans="1:3" x14ac:dyDescent="0.3">
      <c r="A32" t="s">
        <v>55</v>
      </c>
      <c r="B32">
        <v>1411.94</v>
      </c>
      <c r="C32" t="s">
        <v>58</v>
      </c>
    </row>
    <row r="33" spans="1:3" x14ac:dyDescent="0.3">
      <c r="A33" t="s">
        <v>56</v>
      </c>
      <c r="B33">
        <v>16.920000000000002</v>
      </c>
      <c r="C33" t="s">
        <v>58</v>
      </c>
    </row>
    <row r="34" spans="1:3" x14ac:dyDescent="0.3">
      <c r="A34" t="s">
        <v>57</v>
      </c>
      <c r="B34">
        <v>5.08</v>
      </c>
      <c r="C34" t="s">
        <v>58</v>
      </c>
    </row>
    <row r="35" spans="1:3" x14ac:dyDescent="0.3">
      <c r="A35" t="s">
        <v>59</v>
      </c>
      <c r="B35">
        <v>6.37</v>
      </c>
      <c r="C35" t="s">
        <v>58</v>
      </c>
    </row>
    <row r="36" spans="1:3" x14ac:dyDescent="0.3">
      <c r="A36" t="s">
        <v>60</v>
      </c>
      <c r="B36">
        <v>2.36</v>
      </c>
      <c r="C36" t="s">
        <v>95</v>
      </c>
    </row>
    <row r="37" spans="1:3" x14ac:dyDescent="0.3">
      <c r="A37" t="s">
        <v>61</v>
      </c>
      <c r="B37">
        <v>86.81</v>
      </c>
      <c r="C37" t="s">
        <v>58</v>
      </c>
    </row>
    <row r="38" spans="1:3" x14ac:dyDescent="0.3">
      <c r="A38" t="s">
        <v>62</v>
      </c>
      <c r="B38">
        <v>249.4</v>
      </c>
      <c r="C38" t="s">
        <v>58</v>
      </c>
    </row>
    <row r="39" spans="1:3" x14ac:dyDescent="0.3">
      <c r="A39" t="s">
        <v>63</v>
      </c>
      <c r="B39">
        <v>5.44</v>
      </c>
      <c r="C39" t="s">
        <v>58</v>
      </c>
    </row>
    <row r="40" spans="1:3" x14ac:dyDescent="0.3">
      <c r="A40" t="s">
        <v>64</v>
      </c>
      <c r="B40">
        <v>7.27</v>
      </c>
      <c r="C40" t="s">
        <v>58</v>
      </c>
    </row>
    <row r="41" spans="1:3" x14ac:dyDescent="0.3">
      <c r="A41" t="s">
        <v>65</v>
      </c>
      <c r="B41">
        <v>61.93</v>
      </c>
      <c r="C41" t="s">
        <v>58</v>
      </c>
    </row>
    <row r="42" spans="1:3" x14ac:dyDescent="0.3">
      <c r="A42" t="s">
        <v>66</v>
      </c>
      <c r="B42">
        <v>440.45</v>
      </c>
      <c r="C42" t="s">
        <v>58</v>
      </c>
    </row>
    <row r="43" spans="1:3" x14ac:dyDescent="0.3">
      <c r="A43" t="s">
        <v>67</v>
      </c>
      <c r="B43">
        <v>303.61</v>
      </c>
      <c r="C43" t="s">
        <v>58</v>
      </c>
    </row>
    <row r="44" spans="1:3" x14ac:dyDescent="0.3">
      <c r="A44" t="s">
        <v>68</v>
      </c>
      <c r="B44">
        <v>365.31</v>
      </c>
      <c r="C44" t="s">
        <v>58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1072</v>
      </c>
      <c r="C46" t="s">
        <v>46</v>
      </c>
    </row>
    <row r="47" spans="1:3" x14ac:dyDescent="0.3">
      <c r="A47" t="s">
        <v>72</v>
      </c>
      <c r="B47">
        <v>1066</v>
      </c>
      <c r="C47" t="s">
        <v>46</v>
      </c>
    </row>
    <row r="48" spans="1:3" x14ac:dyDescent="0.3">
      <c r="A48" t="s">
        <v>76</v>
      </c>
      <c r="B48">
        <v>4035.04</v>
      </c>
      <c r="C48" t="s">
        <v>58</v>
      </c>
    </row>
    <row r="49" spans="1:3" x14ac:dyDescent="0.3">
      <c r="A49" t="s">
        <v>71</v>
      </c>
      <c r="B49">
        <v>1411.94</v>
      </c>
      <c r="C49" t="s">
        <v>58</v>
      </c>
    </row>
    <row r="50" spans="1:3" x14ac:dyDescent="0.3">
      <c r="A50" t="s">
        <v>73</v>
      </c>
      <c r="B50">
        <v>434.15</v>
      </c>
      <c r="C50" t="s">
        <v>58</v>
      </c>
    </row>
    <row r="51" spans="1:3" x14ac:dyDescent="0.3">
      <c r="A51" t="s">
        <v>74</v>
      </c>
      <c r="B51">
        <v>249.4</v>
      </c>
      <c r="C51" t="s">
        <v>58</v>
      </c>
    </row>
    <row r="52" spans="1:3" x14ac:dyDescent="0.3">
      <c r="A52" t="s">
        <v>75</v>
      </c>
      <c r="B52">
        <v>184.74</v>
      </c>
      <c r="C52" t="s">
        <v>58</v>
      </c>
    </row>
    <row r="53" spans="1:3" x14ac:dyDescent="0.3">
      <c r="A53" t="s">
        <v>77</v>
      </c>
      <c r="B53">
        <v>16.920000000000002</v>
      </c>
      <c r="C53" t="s">
        <v>58</v>
      </c>
    </row>
    <row r="54" spans="1:3" x14ac:dyDescent="0.3">
      <c r="A54" t="s">
        <v>78</v>
      </c>
    </row>
    <row r="55" spans="1:3" x14ac:dyDescent="0.3">
      <c r="A55" t="s">
        <v>29</v>
      </c>
    </row>
    <row r="56" spans="1:3" x14ac:dyDescent="0.3">
      <c r="A56" t="s">
        <v>28</v>
      </c>
    </row>
    <row r="57" spans="1:3" x14ac:dyDescent="0.3">
      <c r="A57" t="s">
        <v>30</v>
      </c>
      <c r="B57">
        <v>79.7</v>
      </c>
      <c r="C57" t="s">
        <v>33</v>
      </c>
    </row>
    <row r="58" spans="1:3" x14ac:dyDescent="0.3">
      <c r="A58" t="s">
        <v>18</v>
      </c>
      <c r="B58">
        <v>80.06</v>
      </c>
      <c r="C58" t="s">
        <v>33</v>
      </c>
    </row>
    <row r="59" spans="1:3" x14ac:dyDescent="0.3">
      <c r="A59" t="s">
        <v>31</v>
      </c>
      <c r="B59" s="2">
        <v>-3.5499999999999999E-7</v>
      </c>
      <c r="C59" t="s">
        <v>5</v>
      </c>
    </row>
    <row r="60" spans="1:3" x14ac:dyDescent="0.3">
      <c r="A60" t="s">
        <v>32</v>
      </c>
      <c r="B60">
        <v>15.44</v>
      </c>
      <c r="C60" t="s">
        <v>95</v>
      </c>
    </row>
    <row r="61" spans="1:3" x14ac:dyDescent="0.3">
      <c r="A61" t="s">
        <v>34</v>
      </c>
      <c r="B61">
        <v>22.82</v>
      </c>
      <c r="C61" t="s">
        <v>95</v>
      </c>
    </row>
    <row r="62" spans="1:3" x14ac:dyDescent="0.3">
      <c r="A62" t="s">
        <v>21</v>
      </c>
      <c r="B62">
        <v>85.51</v>
      </c>
      <c r="C62" t="s">
        <v>95</v>
      </c>
    </row>
    <row r="63" spans="1:3" x14ac:dyDescent="0.3">
      <c r="A63" t="s">
        <v>36</v>
      </c>
      <c r="B63">
        <v>18.23</v>
      </c>
      <c r="C63" t="s">
        <v>95</v>
      </c>
    </row>
    <row r="64" spans="1:3" x14ac:dyDescent="0.3">
      <c r="A64" t="s">
        <v>37</v>
      </c>
      <c r="B64">
        <v>12.38</v>
      </c>
      <c r="C64" t="s">
        <v>95</v>
      </c>
    </row>
    <row r="65" spans="1:3" x14ac:dyDescent="0.3">
      <c r="A65" t="s">
        <v>22</v>
      </c>
      <c r="B65">
        <v>0.19</v>
      </c>
      <c r="C65" t="s">
        <v>33</v>
      </c>
    </row>
    <row r="66" spans="1:3" x14ac:dyDescent="0.3">
      <c r="A66" t="s">
        <v>19</v>
      </c>
      <c r="B66">
        <v>10.56</v>
      </c>
      <c r="C66" t="s">
        <v>95</v>
      </c>
    </row>
    <row r="67" spans="1:3" x14ac:dyDescent="0.3">
      <c r="A67" t="s">
        <v>20</v>
      </c>
      <c r="B67">
        <v>1.1200000000000001</v>
      </c>
      <c r="C67" t="s">
        <v>95</v>
      </c>
    </row>
    <row r="68" spans="1:3" x14ac:dyDescent="0.3">
      <c r="A68" t="s">
        <v>23</v>
      </c>
      <c r="B68">
        <v>0.66</v>
      </c>
      <c r="C68" t="s">
        <v>95</v>
      </c>
    </row>
    <row r="69" spans="1:3" x14ac:dyDescent="0.3">
      <c r="A69" t="s">
        <v>38</v>
      </c>
      <c r="B69">
        <v>1.42</v>
      </c>
      <c r="C69" t="s">
        <v>95</v>
      </c>
    </row>
    <row r="70" spans="1:3" x14ac:dyDescent="0.3">
      <c r="A70" t="s">
        <v>39</v>
      </c>
    </row>
    <row r="71" spans="1:3" x14ac:dyDescent="0.3">
      <c r="A71" t="s">
        <v>40</v>
      </c>
      <c r="B71">
        <v>80.400000000000006</v>
      </c>
      <c r="C71" t="s">
        <v>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FEBC-CADB-4C02-9193-798FD9341878}">
  <sheetPr codeName="Sheet9"/>
  <dimension ref="A1:C72"/>
  <sheetViews>
    <sheetView workbookViewId="0">
      <selection activeCell="K22" sqref="K22"/>
    </sheetView>
  </sheetViews>
  <sheetFormatPr defaultRowHeight="14.4" x14ac:dyDescent="0.3"/>
  <sheetData>
    <row r="1" spans="1:3" x14ac:dyDescent="0.3">
      <c r="A1" t="s">
        <v>92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3.19</v>
      </c>
      <c r="C5" t="s">
        <v>5</v>
      </c>
    </row>
    <row r="6" spans="1:3" x14ac:dyDescent="0.3">
      <c r="A6" t="s">
        <v>18</v>
      </c>
      <c r="B6">
        <v>3.2</v>
      </c>
      <c r="C6" t="s">
        <v>5</v>
      </c>
    </row>
    <row r="7" spans="1:3" x14ac:dyDescent="0.3">
      <c r="A7" t="s">
        <v>31</v>
      </c>
      <c r="B7">
        <v>-0.01</v>
      </c>
      <c r="C7" t="s">
        <v>5</v>
      </c>
    </row>
    <row r="8" spans="1:3" x14ac:dyDescent="0.3">
      <c r="A8" t="s">
        <v>32</v>
      </c>
      <c r="B8">
        <v>1.1299999999999999</v>
      </c>
      <c r="C8" t="s">
        <v>35</v>
      </c>
    </row>
    <row r="9" spans="1:3" x14ac:dyDescent="0.3">
      <c r="A9" t="s">
        <v>34</v>
      </c>
      <c r="B9">
        <v>7.02</v>
      </c>
      <c r="C9" t="s">
        <v>35</v>
      </c>
    </row>
    <row r="10" spans="1:3" x14ac:dyDescent="0.3">
      <c r="A10" t="s">
        <v>21</v>
      </c>
      <c r="B10">
        <v>5.24</v>
      </c>
      <c r="C10" t="s">
        <v>35</v>
      </c>
    </row>
    <row r="11" spans="1:3" x14ac:dyDescent="0.3">
      <c r="A11" t="s">
        <v>36</v>
      </c>
      <c r="B11">
        <v>1.21</v>
      </c>
      <c r="C11" t="s">
        <v>35</v>
      </c>
    </row>
    <row r="12" spans="1:3" x14ac:dyDescent="0.3">
      <c r="A12" t="s">
        <v>37</v>
      </c>
      <c r="B12">
        <v>0.33</v>
      </c>
      <c r="C12" t="s">
        <v>35</v>
      </c>
    </row>
    <row r="13" spans="1:3" x14ac:dyDescent="0.3">
      <c r="A13" t="s">
        <v>22</v>
      </c>
      <c r="B13">
        <v>17.79</v>
      </c>
      <c r="C13" t="s">
        <v>35</v>
      </c>
    </row>
    <row r="14" spans="1:3" x14ac:dyDescent="0.3">
      <c r="A14" t="s">
        <v>19</v>
      </c>
      <c r="B14">
        <v>23.06</v>
      </c>
      <c r="C14" t="s">
        <v>35</v>
      </c>
    </row>
    <row r="15" spans="1:3" x14ac:dyDescent="0.3">
      <c r="A15" t="s">
        <v>20</v>
      </c>
      <c r="B15">
        <v>0.25</v>
      </c>
      <c r="C15" t="s">
        <v>35</v>
      </c>
    </row>
    <row r="16" spans="1:3" x14ac:dyDescent="0.3">
      <c r="A16" t="s">
        <v>23</v>
      </c>
      <c r="B16">
        <v>40.700000000000003</v>
      </c>
      <c r="C16" t="s">
        <v>33</v>
      </c>
    </row>
    <row r="17" spans="1:3" x14ac:dyDescent="0.3">
      <c r="A17" t="s">
        <v>38</v>
      </c>
      <c r="B17">
        <v>61.81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3.96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89</v>
      </c>
      <c r="C24" t="s">
        <v>12</v>
      </c>
    </row>
    <row r="25" spans="1:3" x14ac:dyDescent="0.3">
      <c r="A25" t="s">
        <v>47</v>
      </c>
      <c r="B25">
        <v>5978.35</v>
      </c>
      <c r="C25" t="s">
        <v>48</v>
      </c>
    </row>
    <row r="26" spans="1:3" x14ac:dyDescent="0.3">
      <c r="A26" t="s">
        <v>49</v>
      </c>
      <c r="B26">
        <v>2041.33</v>
      </c>
      <c r="C26" t="s">
        <v>48</v>
      </c>
    </row>
    <row r="27" spans="1:3" x14ac:dyDescent="0.3">
      <c r="A27" t="s">
        <v>50</v>
      </c>
      <c r="B27">
        <v>2017.27</v>
      </c>
      <c r="C27" t="s">
        <v>48</v>
      </c>
    </row>
    <row r="28" spans="1:3" x14ac:dyDescent="0.3">
      <c r="A28" t="s">
        <v>51</v>
      </c>
      <c r="B28">
        <v>1496.9</v>
      </c>
      <c r="C28" t="s">
        <v>48</v>
      </c>
    </row>
    <row r="29" spans="1:3" x14ac:dyDescent="0.3">
      <c r="A29" t="s">
        <v>52</v>
      </c>
      <c r="B29">
        <v>422.85</v>
      </c>
      <c r="C29" t="s">
        <v>48</v>
      </c>
    </row>
    <row r="30" spans="1:3" x14ac:dyDescent="0.3">
      <c r="A30" t="s">
        <v>53</v>
      </c>
      <c r="B30">
        <v>15</v>
      </c>
      <c r="C30" t="s">
        <v>12</v>
      </c>
    </row>
    <row r="31" spans="1:3" x14ac:dyDescent="0.3">
      <c r="A31" t="s">
        <v>54</v>
      </c>
      <c r="B31">
        <v>59</v>
      </c>
      <c r="C31" t="s">
        <v>12</v>
      </c>
    </row>
    <row r="32" spans="1:3" x14ac:dyDescent="0.3">
      <c r="A32" t="s">
        <v>55</v>
      </c>
      <c r="B32">
        <v>6962</v>
      </c>
      <c r="C32" t="s">
        <v>46</v>
      </c>
    </row>
    <row r="33" spans="1:3" x14ac:dyDescent="0.3">
      <c r="A33" t="s">
        <v>56</v>
      </c>
      <c r="B33">
        <v>114.06</v>
      </c>
      <c r="C33" t="s">
        <v>46</v>
      </c>
    </row>
    <row r="34" spans="1:3" x14ac:dyDescent="0.3">
      <c r="A34" t="s">
        <v>57</v>
      </c>
      <c r="B34">
        <v>28.55</v>
      </c>
      <c r="C34" t="s">
        <v>46</v>
      </c>
    </row>
    <row r="35" spans="1:3" x14ac:dyDescent="0.3">
      <c r="A35" t="s">
        <v>59</v>
      </c>
      <c r="B35">
        <v>31.46</v>
      </c>
      <c r="C35" t="s">
        <v>46</v>
      </c>
    </row>
    <row r="36" spans="1:3" x14ac:dyDescent="0.3">
      <c r="A36" t="s">
        <v>60</v>
      </c>
      <c r="B36">
        <v>13.15</v>
      </c>
      <c r="C36" t="s">
        <v>33</v>
      </c>
    </row>
    <row r="37" spans="1:3" x14ac:dyDescent="0.3">
      <c r="A37" t="s">
        <v>61</v>
      </c>
      <c r="B37">
        <v>440.21</v>
      </c>
      <c r="C37" t="s">
        <v>46</v>
      </c>
    </row>
    <row r="38" spans="1:3" x14ac:dyDescent="0.3">
      <c r="A38" t="s">
        <v>62</v>
      </c>
      <c r="B38">
        <v>1388</v>
      </c>
      <c r="C38" t="s">
        <v>46</v>
      </c>
    </row>
    <row r="39" spans="1:3" x14ac:dyDescent="0.3">
      <c r="A39" t="s">
        <v>63</v>
      </c>
      <c r="B39">
        <v>27.61</v>
      </c>
      <c r="C39" t="s">
        <v>46</v>
      </c>
    </row>
    <row r="40" spans="1:3" x14ac:dyDescent="0.3">
      <c r="A40" t="s">
        <v>64</v>
      </c>
      <c r="B40">
        <v>42.5</v>
      </c>
      <c r="C40" t="s">
        <v>46</v>
      </c>
    </row>
    <row r="41" spans="1:3" x14ac:dyDescent="0.3">
      <c r="A41" t="s">
        <v>65</v>
      </c>
      <c r="B41">
        <v>331.78</v>
      </c>
      <c r="C41" t="s">
        <v>46</v>
      </c>
    </row>
    <row r="42" spans="1:3" x14ac:dyDescent="0.3">
      <c r="A42" t="s">
        <v>66</v>
      </c>
      <c r="B42">
        <v>2411</v>
      </c>
      <c r="C42" t="s">
        <v>46</v>
      </c>
    </row>
    <row r="43" spans="1:3" x14ac:dyDescent="0.3">
      <c r="A43" t="s">
        <v>67</v>
      </c>
      <c r="B43">
        <v>1629</v>
      </c>
      <c r="C43" t="s">
        <v>46</v>
      </c>
    </row>
    <row r="44" spans="1:3" x14ac:dyDescent="0.3">
      <c r="A44" t="s">
        <v>68</v>
      </c>
      <c r="B44">
        <v>1960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86</v>
      </c>
      <c r="C46" t="s">
        <v>12</v>
      </c>
    </row>
    <row r="47" spans="1:3" x14ac:dyDescent="0.3">
      <c r="A47" t="s">
        <v>72</v>
      </c>
      <c r="B47">
        <v>59</v>
      </c>
      <c r="C47" t="s">
        <v>12</v>
      </c>
    </row>
    <row r="48" spans="1:3" x14ac:dyDescent="0.3">
      <c r="A48" t="s">
        <v>76</v>
      </c>
      <c r="B48">
        <v>21</v>
      </c>
      <c r="C48" t="s">
        <v>12</v>
      </c>
    </row>
    <row r="49" spans="1:3" x14ac:dyDescent="0.3">
      <c r="A49" t="s">
        <v>71</v>
      </c>
      <c r="B49">
        <v>6962</v>
      </c>
      <c r="C49" t="s">
        <v>46</v>
      </c>
    </row>
    <row r="50" spans="1:3" x14ac:dyDescent="0.3">
      <c r="A50" t="s">
        <v>73</v>
      </c>
      <c r="B50">
        <v>2375</v>
      </c>
      <c r="C50" t="s">
        <v>46</v>
      </c>
    </row>
    <row r="51" spans="1:3" x14ac:dyDescent="0.3">
      <c r="A51" t="s">
        <v>74</v>
      </c>
      <c r="B51">
        <v>1388</v>
      </c>
      <c r="C51" t="s">
        <v>46</v>
      </c>
    </row>
    <row r="52" spans="1:3" x14ac:dyDescent="0.3">
      <c r="A52" t="s">
        <v>75</v>
      </c>
      <c r="B52">
        <v>987.62</v>
      </c>
      <c r="C52" t="s">
        <v>46</v>
      </c>
    </row>
    <row r="53" spans="1:3" x14ac:dyDescent="0.3">
      <c r="A53" t="s">
        <v>77</v>
      </c>
      <c r="B53">
        <v>114.06</v>
      </c>
      <c r="C53" t="s">
        <v>46</v>
      </c>
    </row>
    <row r="54" spans="1:3" x14ac:dyDescent="0.3">
      <c r="A54" t="s">
        <v>79</v>
      </c>
      <c r="B54">
        <v>5978.35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0.34</v>
      </c>
      <c r="C58" t="s">
        <v>5</v>
      </c>
    </row>
    <row r="59" spans="1:3" x14ac:dyDescent="0.3">
      <c r="A59" t="s">
        <v>18</v>
      </c>
      <c r="B59">
        <v>0.34</v>
      </c>
      <c r="C59" t="s">
        <v>5</v>
      </c>
    </row>
    <row r="60" spans="1:3" x14ac:dyDescent="0.3">
      <c r="A60" t="s">
        <v>31</v>
      </c>
      <c r="B60">
        <v>0</v>
      </c>
      <c r="C60" t="s">
        <v>5</v>
      </c>
    </row>
    <row r="61" spans="1:3" x14ac:dyDescent="0.3">
      <c r="A61" t="s">
        <v>32</v>
      </c>
      <c r="B61">
        <v>52.21</v>
      </c>
      <c r="C61" t="s">
        <v>33</v>
      </c>
    </row>
    <row r="62" spans="1:3" x14ac:dyDescent="0.3">
      <c r="A62" t="s">
        <v>34</v>
      </c>
      <c r="B62">
        <v>0.2</v>
      </c>
      <c r="C62" t="s">
        <v>35</v>
      </c>
    </row>
    <row r="63" spans="1:3" x14ac:dyDescent="0.3">
      <c r="A63" t="s">
        <v>21</v>
      </c>
      <c r="B63">
        <v>0.32</v>
      </c>
      <c r="C63" t="s">
        <v>35</v>
      </c>
    </row>
    <row r="64" spans="1:3" x14ac:dyDescent="0.3">
      <c r="A64" t="s">
        <v>36</v>
      </c>
      <c r="B64">
        <v>23.68</v>
      </c>
      <c r="C64" t="s">
        <v>33</v>
      </c>
    </row>
    <row r="65" spans="1:3" x14ac:dyDescent="0.3">
      <c r="A65" t="s">
        <v>37</v>
      </c>
      <c r="B65">
        <v>16.36</v>
      </c>
      <c r="C65" t="s">
        <v>33</v>
      </c>
    </row>
    <row r="66" spans="1:3" x14ac:dyDescent="0.3">
      <c r="A66" t="s">
        <v>22</v>
      </c>
      <c r="B66">
        <v>0.6</v>
      </c>
      <c r="C66" t="s">
        <v>35</v>
      </c>
    </row>
    <row r="67" spans="1:3" x14ac:dyDescent="0.3">
      <c r="A67" t="s">
        <v>19</v>
      </c>
      <c r="B67">
        <v>0.53</v>
      </c>
      <c r="C67" t="s">
        <v>35</v>
      </c>
    </row>
    <row r="68" spans="1:3" x14ac:dyDescent="0.3">
      <c r="A68" t="s">
        <v>20</v>
      </c>
      <c r="B68">
        <v>13.44</v>
      </c>
      <c r="C68" t="s">
        <v>33</v>
      </c>
    </row>
    <row r="69" spans="1:3" x14ac:dyDescent="0.3">
      <c r="A69" t="s">
        <v>23</v>
      </c>
      <c r="B69">
        <v>1.3</v>
      </c>
      <c r="C69" t="s">
        <v>33</v>
      </c>
    </row>
    <row r="70" spans="1:3" x14ac:dyDescent="0.3">
      <c r="A70" t="s">
        <v>38</v>
      </c>
      <c r="B70">
        <v>2.96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0.36</v>
      </c>
      <c r="C72" t="s"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8117B-A3D6-405A-9BCF-352C02B4911C}">
  <sheetPr codeName="Sheet63"/>
  <dimension ref="A1:C81"/>
  <sheetViews>
    <sheetView topLeftCell="A5" workbookViewId="0">
      <selection activeCell="B15" sqref="B15"/>
    </sheetView>
  </sheetViews>
  <sheetFormatPr defaultRowHeight="14.4" x14ac:dyDescent="0.3"/>
  <sheetData>
    <row r="1" spans="1:3" x14ac:dyDescent="0.3">
      <c r="A1" t="s">
        <v>584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-7.5159299999999997E-3</v>
      </c>
      <c r="C5" t="s">
        <v>5</v>
      </c>
    </row>
    <row r="6" spans="1:3" x14ac:dyDescent="0.3">
      <c r="A6" t="s">
        <v>18</v>
      </c>
      <c r="B6">
        <v>0</v>
      </c>
      <c r="C6" t="s">
        <v>5</v>
      </c>
    </row>
    <row r="7" spans="1:3" x14ac:dyDescent="0.3">
      <c r="A7" t="s">
        <v>31</v>
      </c>
      <c r="B7">
        <v>-7.5159299999999997E-3</v>
      </c>
      <c r="C7" t="s">
        <v>35</v>
      </c>
    </row>
    <row r="8" spans="1:3" x14ac:dyDescent="0.3">
      <c r="A8" t="s">
        <v>32</v>
      </c>
      <c r="B8" s="2">
        <v>-4.2300000000000002E-6</v>
      </c>
      <c r="C8" t="s">
        <v>5</v>
      </c>
    </row>
    <row r="9" spans="1:3" x14ac:dyDescent="0.3">
      <c r="A9" t="s">
        <v>34</v>
      </c>
      <c r="B9" s="2">
        <v>-4.0199999999999996E-6</v>
      </c>
      <c r="C9" t="s">
        <v>5</v>
      </c>
    </row>
    <row r="10" spans="1:3" x14ac:dyDescent="0.3">
      <c r="A10" t="s">
        <v>21</v>
      </c>
      <c r="B10" s="2">
        <v>-5.9699999999999996E-6</v>
      </c>
      <c r="C10" t="s">
        <v>5</v>
      </c>
    </row>
    <row r="11" spans="1:3" x14ac:dyDescent="0.3">
      <c r="A11" t="s">
        <v>36</v>
      </c>
      <c r="B11" s="2">
        <v>-1.4100000000000001E-6</v>
      </c>
      <c r="C11" t="s">
        <v>5</v>
      </c>
    </row>
    <row r="12" spans="1:3" x14ac:dyDescent="0.3">
      <c r="A12" t="s">
        <v>37</v>
      </c>
      <c r="B12" s="2">
        <v>-1.08E-6</v>
      </c>
      <c r="C12" t="s">
        <v>5</v>
      </c>
    </row>
    <row r="13" spans="1:3" x14ac:dyDescent="0.3">
      <c r="A13" t="s">
        <v>22</v>
      </c>
      <c r="B13" s="2">
        <v>-4.0800000000000002E-5</v>
      </c>
      <c r="C13" t="s">
        <v>5</v>
      </c>
    </row>
    <row r="14" spans="1:3" x14ac:dyDescent="0.3">
      <c r="A14" t="s">
        <v>19</v>
      </c>
      <c r="B14" s="2">
        <v>-2.0122483863859002E-5</v>
      </c>
      <c r="C14" t="s">
        <v>5</v>
      </c>
    </row>
    <row r="15" spans="1:3" x14ac:dyDescent="0.3">
      <c r="A15" t="s">
        <v>20</v>
      </c>
      <c r="B15" s="2">
        <v>-1.04212968462921E-7</v>
      </c>
      <c r="C15" t="s">
        <v>5</v>
      </c>
    </row>
    <row r="16" spans="1:3" x14ac:dyDescent="0.3">
      <c r="A16" t="s">
        <v>585</v>
      </c>
      <c r="B16">
        <v>0</v>
      </c>
      <c r="C16" t="s">
        <v>5</v>
      </c>
    </row>
    <row r="17" spans="1:3" x14ac:dyDescent="0.3">
      <c r="A17" t="s">
        <v>586</v>
      </c>
      <c r="B17">
        <v>0</v>
      </c>
      <c r="C17" t="s">
        <v>5</v>
      </c>
    </row>
    <row r="18" spans="1:3" x14ac:dyDescent="0.3">
      <c r="A18" t="s">
        <v>587</v>
      </c>
      <c r="B18">
        <v>0</v>
      </c>
      <c r="C18" t="s">
        <v>5</v>
      </c>
    </row>
    <row r="19" spans="1:3" x14ac:dyDescent="0.3">
      <c r="A19" t="s">
        <v>23</v>
      </c>
      <c r="B19" s="2">
        <v>-2.3799999999999999E-7</v>
      </c>
      <c r="C19" t="s">
        <v>5</v>
      </c>
    </row>
    <row r="20" spans="1:3" x14ac:dyDescent="0.3">
      <c r="A20" t="s">
        <v>38</v>
      </c>
      <c r="B20" s="2">
        <v>-3.3799999999999998E-8</v>
      </c>
      <c r="C20" t="s">
        <v>5</v>
      </c>
    </row>
    <row r="21" spans="1:3" x14ac:dyDescent="0.3">
      <c r="A21" t="s">
        <v>39</v>
      </c>
    </row>
    <row r="22" spans="1:3" x14ac:dyDescent="0.3">
      <c r="A22" t="s">
        <v>41</v>
      </c>
      <c r="B22">
        <v>0</v>
      </c>
      <c r="C22" t="s">
        <v>5</v>
      </c>
    </row>
    <row r="23" spans="1:3" x14ac:dyDescent="0.3">
      <c r="A23" t="s">
        <v>42</v>
      </c>
    </row>
    <row r="24" spans="1:3" x14ac:dyDescent="0.3">
      <c r="A24" t="s">
        <v>43</v>
      </c>
      <c r="B24">
        <v>0</v>
      </c>
      <c r="C24" t="s">
        <v>44</v>
      </c>
    </row>
    <row r="25" spans="1:3" x14ac:dyDescent="0.3">
      <c r="A25" t="s">
        <v>45</v>
      </c>
    </row>
    <row r="26" spans="1:3" x14ac:dyDescent="0.3">
      <c r="A26" t="s">
        <v>29</v>
      </c>
    </row>
    <row r="27" spans="1:3" x14ac:dyDescent="0.3">
      <c r="A27" t="s">
        <v>45</v>
      </c>
      <c r="B27">
        <v>-271.18</v>
      </c>
      <c r="C27" t="s">
        <v>46</v>
      </c>
    </row>
    <row r="28" spans="1:3" x14ac:dyDescent="0.3">
      <c r="A28" t="s">
        <v>47</v>
      </c>
      <c r="B28" s="2">
        <v>-2.62E-5</v>
      </c>
      <c r="C28" t="s">
        <v>488</v>
      </c>
    </row>
    <row r="29" spans="1:3" x14ac:dyDescent="0.3">
      <c r="A29" t="s">
        <v>79</v>
      </c>
      <c r="B29">
        <v>1.22</v>
      </c>
      <c r="C29" t="s">
        <v>48</v>
      </c>
    </row>
    <row r="30" spans="1:3" x14ac:dyDescent="0.3">
      <c r="A30" t="s">
        <v>50</v>
      </c>
      <c r="B30" s="2">
        <v>-3.4199999999999999E-6</v>
      </c>
      <c r="C30" t="s">
        <v>488</v>
      </c>
    </row>
    <row r="31" spans="1:3" x14ac:dyDescent="0.3">
      <c r="A31" t="s">
        <v>49</v>
      </c>
      <c r="B31" s="2">
        <v>-4.2799999999999997E-6</v>
      </c>
      <c r="C31" t="s">
        <v>488</v>
      </c>
    </row>
    <row r="32" spans="1:3" x14ac:dyDescent="0.3">
      <c r="A32" t="s">
        <v>51</v>
      </c>
      <c r="B32" s="2">
        <v>-9.3500000000000003E-6</v>
      </c>
      <c r="C32" t="s">
        <v>488</v>
      </c>
    </row>
    <row r="33" spans="1:3" x14ac:dyDescent="0.3">
      <c r="A33" t="s">
        <v>52</v>
      </c>
      <c r="B33" s="2">
        <v>-1.03E-5</v>
      </c>
      <c r="C33" t="s">
        <v>488</v>
      </c>
    </row>
    <row r="34" spans="1:3" x14ac:dyDescent="0.3">
      <c r="A34" t="s">
        <v>53</v>
      </c>
      <c r="B34">
        <v>-3.24</v>
      </c>
      <c r="C34" t="s">
        <v>46</v>
      </c>
    </row>
    <row r="35" spans="1:3" x14ac:dyDescent="0.3">
      <c r="A35" t="s">
        <v>54</v>
      </c>
      <c r="B35">
        <v>-35.01</v>
      </c>
      <c r="C35" t="s">
        <v>46</v>
      </c>
    </row>
    <row r="36" spans="1:3" x14ac:dyDescent="0.3">
      <c r="A36" t="s">
        <v>55</v>
      </c>
      <c r="B36">
        <v>-10.83</v>
      </c>
      <c r="C36" t="s">
        <v>46</v>
      </c>
    </row>
    <row r="37" spans="1:3" x14ac:dyDescent="0.3">
      <c r="A37" t="s">
        <v>56</v>
      </c>
      <c r="B37">
        <v>-78.790000000000006</v>
      </c>
      <c r="C37" t="s">
        <v>58</v>
      </c>
    </row>
    <row r="38" spans="1:3" x14ac:dyDescent="0.3">
      <c r="A38" t="s">
        <v>57</v>
      </c>
      <c r="B38">
        <v>-6.17</v>
      </c>
      <c r="C38" t="s">
        <v>58</v>
      </c>
    </row>
    <row r="39" spans="1:3" x14ac:dyDescent="0.3">
      <c r="A39" t="s">
        <v>59</v>
      </c>
      <c r="B39">
        <v>-61.84</v>
      </c>
      <c r="C39" t="s">
        <v>58</v>
      </c>
    </row>
    <row r="40" spans="1:3" x14ac:dyDescent="0.3">
      <c r="A40" t="s">
        <v>588</v>
      </c>
      <c r="B40">
        <v>-216.29</v>
      </c>
      <c r="C40" t="s">
        <v>46</v>
      </c>
    </row>
    <row r="41" spans="1:3" x14ac:dyDescent="0.3">
      <c r="A41" t="s">
        <v>60</v>
      </c>
      <c r="B41" s="2">
        <v>-2.33E-8</v>
      </c>
      <c r="C41" t="s">
        <v>5</v>
      </c>
    </row>
    <row r="42" spans="1:3" x14ac:dyDescent="0.3">
      <c r="A42" t="s">
        <v>61</v>
      </c>
      <c r="B42">
        <v>-923.02</v>
      </c>
      <c r="C42" t="s">
        <v>58</v>
      </c>
    </row>
    <row r="43" spans="1:3" x14ac:dyDescent="0.3">
      <c r="A43" t="s">
        <v>62</v>
      </c>
      <c r="B43">
        <v>-2.46</v>
      </c>
      <c r="C43" t="s">
        <v>46</v>
      </c>
    </row>
    <row r="44" spans="1:3" x14ac:dyDescent="0.3">
      <c r="A44" t="s">
        <v>63</v>
      </c>
      <c r="B44">
        <v>-53.03</v>
      </c>
      <c r="C44" t="s">
        <v>58</v>
      </c>
    </row>
    <row r="45" spans="1:3" x14ac:dyDescent="0.3">
      <c r="A45" t="s">
        <v>64</v>
      </c>
      <c r="B45">
        <v>-145.62</v>
      </c>
      <c r="C45" t="s">
        <v>58</v>
      </c>
    </row>
    <row r="46" spans="1:3" x14ac:dyDescent="0.3">
      <c r="A46" t="s">
        <v>65</v>
      </c>
      <c r="B46">
        <v>-763.39</v>
      </c>
      <c r="C46" t="s">
        <v>58</v>
      </c>
    </row>
    <row r="47" spans="1:3" x14ac:dyDescent="0.3">
      <c r="A47" t="s">
        <v>66</v>
      </c>
      <c r="B47">
        <v>-523.53</v>
      </c>
      <c r="C47" t="s">
        <v>58</v>
      </c>
    </row>
    <row r="48" spans="1:3" x14ac:dyDescent="0.3">
      <c r="A48" t="s">
        <v>67</v>
      </c>
      <c r="B48">
        <v>-364.18</v>
      </c>
      <c r="C48" t="s">
        <v>58</v>
      </c>
    </row>
    <row r="49" spans="1:3" x14ac:dyDescent="0.3">
      <c r="A49" t="s">
        <v>68</v>
      </c>
      <c r="B49">
        <v>-438.19</v>
      </c>
      <c r="C49" t="s">
        <v>58</v>
      </c>
    </row>
    <row r="50" spans="1:3" x14ac:dyDescent="0.3">
      <c r="A50" t="s">
        <v>39</v>
      </c>
      <c r="B50" t="s">
        <v>69</v>
      </c>
    </row>
    <row r="51" spans="1:3" x14ac:dyDescent="0.3">
      <c r="A51" t="s">
        <v>79</v>
      </c>
      <c r="B51" s="2">
        <v>-2.62E-5</v>
      </c>
      <c r="C51" t="s">
        <v>488</v>
      </c>
    </row>
    <row r="52" spans="1:3" x14ac:dyDescent="0.3">
      <c r="A52" t="s">
        <v>77</v>
      </c>
      <c r="B52">
        <v>-78.790000000000006</v>
      </c>
      <c r="C52" t="s">
        <v>58</v>
      </c>
    </row>
    <row r="53" spans="1:3" x14ac:dyDescent="0.3">
      <c r="A53" t="s">
        <v>74</v>
      </c>
      <c r="B53">
        <v>-2.46</v>
      </c>
      <c r="C53" t="s">
        <v>46</v>
      </c>
    </row>
    <row r="54" spans="1:3" x14ac:dyDescent="0.3">
      <c r="A54" t="s">
        <v>76</v>
      </c>
      <c r="B54">
        <v>-4.57</v>
      </c>
      <c r="C54" t="s">
        <v>46</v>
      </c>
    </row>
    <row r="55" spans="1:3" x14ac:dyDescent="0.3">
      <c r="A55" t="s">
        <v>71</v>
      </c>
      <c r="B55">
        <v>-10.83</v>
      </c>
      <c r="C55" t="s">
        <v>46</v>
      </c>
    </row>
    <row r="56" spans="1:3" x14ac:dyDescent="0.3">
      <c r="A56" t="s">
        <v>72</v>
      </c>
      <c r="B56">
        <v>-35.01</v>
      </c>
      <c r="C56" t="s">
        <v>46</v>
      </c>
    </row>
    <row r="57" spans="1:3" x14ac:dyDescent="0.3">
      <c r="A57" t="s">
        <v>70</v>
      </c>
      <c r="B57">
        <v>-50.41</v>
      </c>
      <c r="C57" t="s">
        <v>46</v>
      </c>
    </row>
    <row r="58" spans="1:3" x14ac:dyDescent="0.3">
      <c r="A58" t="s">
        <v>588</v>
      </c>
      <c r="B58">
        <v>-216.29</v>
      </c>
      <c r="C58" t="s">
        <v>46</v>
      </c>
    </row>
    <row r="59" spans="1:3" x14ac:dyDescent="0.3">
      <c r="A59" t="s">
        <v>75</v>
      </c>
      <c r="B59">
        <v>-218.31</v>
      </c>
      <c r="C59" t="s">
        <v>46</v>
      </c>
    </row>
    <row r="60" spans="1:3" x14ac:dyDescent="0.3">
      <c r="A60" t="s">
        <v>73</v>
      </c>
      <c r="B60">
        <v>-220.77</v>
      </c>
      <c r="C60" t="s">
        <v>46</v>
      </c>
    </row>
    <row r="61" spans="1:3" x14ac:dyDescent="0.3">
      <c r="A61" t="s">
        <v>78</v>
      </c>
    </row>
    <row r="62" spans="1:3" x14ac:dyDescent="0.3">
      <c r="A62" t="s">
        <v>29</v>
      </c>
    </row>
    <row r="63" spans="1:3" x14ac:dyDescent="0.3">
      <c r="A63" t="s">
        <v>28</v>
      </c>
    </row>
    <row r="64" spans="1:3" x14ac:dyDescent="0.3">
      <c r="A64" t="s">
        <v>30</v>
      </c>
      <c r="B64" s="2">
        <v>-2.4000000000000001E-4</v>
      </c>
      <c r="C64" t="s">
        <v>5</v>
      </c>
    </row>
    <row r="65" spans="1:3" x14ac:dyDescent="0.3">
      <c r="A65" t="s">
        <v>18</v>
      </c>
      <c r="B65" s="2">
        <v>-2.4000000000000001E-4</v>
      </c>
      <c r="C65" t="s">
        <v>5</v>
      </c>
    </row>
    <row r="66" spans="1:3" x14ac:dyDescent="0.3">
      <c r="A66" t="s">
        <v>31</v>
      </c>
      <c r="B66">
        <v>93.95</v>
      </c>
      <c r="C66" t="s">
        <v>95</v>
      </c>
    </row>
    <row r="67" spans="1:3" x14ac:dyDescent="0.3">
      <c r="A67" t="s">
        <v>32</v>
      </c>
      <c r="B67" s="2">
        <v>-4.8500000000000002E-7</v>
      </c>
      <c r="C67" t="s">
        <v>5</v>
      </c>
    </row>
    <row r="68" spans="1:3" x14ac:dyDescent="0.3">
      <c r="A68" t="s">
        <v>34</v>
      </c>
      <c r="B68" s="2">
        <v>-7.4200000000000003E-8</v>
      </c>
      <c r="C68" t="s">
        <v>5</v>
      </c>
    </row>
    <row r="69" spans="1:3" x14ac:dyDescent="0.3">
      <c r="A69" t="s">
        <v>21</v>
      </c>
      <c r="B69" s="2">
        <v>-2.9400000000000001E-7</v>
      </c>
      <c r="C69" t="s">
        <v>5</v>
      </c>
    </row>
    <row r="70" spans="1:3" x14ac:dyDescent="0.3">
      <c r="A70" t="s">
        <v>36</v>
      </c>
      <c r="B70" s="2">
        <v>-7.2800000000000003E-8</v>
      </c>
      <c r="C70" t="s">
        <v>5</v>
      </c>
    </row>
    <row r="71" spans="1:3" x14ac:dyDescent="0.3">
      <c r="A71" t="s">
        <v>37</v>
      </c>
      <c r="B71" s="2">
        <v>-6.3800000000000002E-8</v>
      </c>
      <c r="C71" t="s">
        <v>5</v>
      </c>
    </row>
    <row r="72" spans="1:3" x14ac:dyDescent="0.3">
      <c r="A72" t="s">
        <v>22</v>
      </c>
      <c r="B72" s="2">
        <v>-1.06E-6</v>
      </c>
      <c r="C72" t="s">
        <v>5</v>
      </c>
    </row>
    <row r="73" spans="1:3" x14ac:dyDescent="0.3">
      <c r="A73" t="s">
        <v>19</v>
      </c>
      <c r="B73" s="2">
        <v>-1.0000000000000001E-5</v>
      </c>
      <c r="C73" t="s">
        <v>5</v>
      </c>
    </row>
    <row r="74" spans="1:3" x14ac:dyDescent="0.3">
      <c r="A74" t="s">
        <v>20</v>
      </c>
      <c r="B74" s="2">
        <v>-3.2700000000000002E-8</v>
      </c>
      <c r="C74" t="s">
        <v>5</v>
      </c>
    </row>
    <row r="75" spans="1:3" x14ac:dyDescent="0.3">
      <c r="A75" t="s">
        <v>585</v>
      </c>
      <c r="B75">
        <v>0</v>
      </c>
      <c r="C75" t="s">
        <v>5</v>
      </c>
    </row>
    <row r="76" spans="1:3" x14ac:dyDescent="0.3">
      <c r="A76" t="s">
        <v>586</v>
      </c>
      <c r="B76">
        <v>0</v>
      </c>
      <c r="C76" t="s">
        <v>5</v>
      </c>
    </row>
    <row r="77" spans="1:3" x14ac:dyDescent="0.3">
      <c r="A77" t="s">
        <v>587</v>
      </c>
      <c r="B77">
        <v>0</v>
      </c>
      <c r="C77" t="s">
        <v>5</v>
      </c>
    </row>
    <row r="78" spans="1:3" x14ac:dyDescent="0.3">
      <c r="A78" t="s">
        <v>23</v>
      </c>
      <c r="B78" s="2">
        <v>-9.6299999999999995E-8</v>
      </c>
      <c r="C78" t="s">
        <v>5</v>
      </c>
    </row>
    <row r="79" spans="1:3" x14ac:dyDescent="0.3">
      <c r="A79" t="s">
        <v>38</v>
      </c>
      <c r="B79">
        <v>39.159999999999997</v>
      </c>
      <c r="C79" t="s">
        <v>95</v>
      </c>
    </row>
    <row r="80" spans="1:3" x14ac:dyDescent="0.3">
      <c r="A80" t="s">
        <v>39</v>
      </c>
    </row>
    <row r="81" spans="1:3" x14ac:dyDescent="0.3">
      <c r="A81" t="s">
        <v>41</v>
      </c>
      <c r="B81" s="2">
        <v>-5.5099999999999995E-4</v>
      </c>
      <c r="C81" t="s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31B5-FC50-4D89-B533-D49C670A75AA}">
  <sheetPr codeName="Sheet62"/>
  <dimension ref="A1:C72"/>
  <sheetViews>
    <sheetView workbookViewId="0">
      <selection activeCell="B15" sqref="B15"/>
    </sheetView>
  </sheetViews>
  <sheetFormatPr defaultRowHeight="14.4" x14ac:dyDescent="0.3"/>
  <sheetData>
    <row r="1" spans="1:3" x14ac:dyDescent="0.3">
      <c r="A1" t="s">
        <v>583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78.25</v>
      </c>
      <c r="C5" t="s">
        <v>35</v>
      </c>
    </row>
    <row r="6" spans="1:3" x14ac:dyDescent="0.3">
      <c r="A6" t="s">
        <v>18</v>
      </c>
      <c r="B6">
        <v>78.260000000000005</v>
      </c>
      <c r="C6" t="s">
        <v>35</v>
      </c>
    </row>
    <row r="7" spans="1:3" x14ac:dyDescent="0.3">
      <c r="A7" t="s">
        <v>31</v>
      </c>
      <c r="B7" s="2">
        <v>-3.6600000000000001E-6</v>
      </c>
      <c r="C7" t="s">
        <v>5</v>
      </c>
    </row>
    <row r="8" spans="1:3" x14ac:dyDescent="0.3">
      <c r="A8" t="s">
        <v>32</v>
      </c>
      <c r="B8">
        <v>15.26</v>
      </c>
      <c r="C8" t="s">
        <v>33</v>
      </c>
    </row>
    <row r="9" spans="1:3" x14ac:dyDescent="0.3">
      <c r="A9" t="s">
        <v>34</v>
      </c>
      <c r="B9">
        <v>67.67</v>
      </c>
      <c r="C9" t="s">
        <v>33</v>
      </c>
    </row>
    <row r="10" spans="1:3" x14ac:dyDescent="0.3">
      <c r="A10" t="s">
        <v>21</v>
      </c>
      <c r="B10">
        <v>96.4</v>
      </c>
      <c r="C10" t="s">
        <v>33</v>
      </c>
    </row>
    <row r="11" spans="1:3" x14ac:dyDescent="0.3">
      <c r="A11" t="s">
        <v>36</v>
      </c>
      <c r="B11">
        <v>4.75</v>
      </c>
      <c r="C11" t="s">
        <v>33</v>
      </c>
    </row>
    <row r="12" spans="1:3" x14ac:dyDescent="0.3">
      <c r="A12" t="s">
        <v>37</v>
      </c>
      <c r="B12">
        <v>4.68</v>
      </c>
      <c r="C12" t="s">
        <v>33</v>
      </c>
    </row>
    <row r="13" spans="1:3" x14ac:dyDescent="0.3">
      <c r="A13" t="s">
        <v>22</v>
      </c>
      <c r="B13">
        <v>14.13</v>
      </c>
      <c r="C13" t="s">
        <v>33</v>
      </c>
    </row>
    <row r="14" spans="1:3" x14ac:dyDescent="0.3">
      <c r="A14" t="s">
        <v>19</v>
      </c>
      <c r="B14">
        <v>0.26</v>
      </c>
      <c r="C14" t="s">
        <v>35</v>
      </c>
    </row>
    <row r="15" spans="1:3" x14ac:dyDescent="0.3">
      <c r="A15" t="s">
        <v>20</v>
      </c>
      <c r="B15">
        <v>2.1</v>
      </c>
      <c r="C15" t="s">
        <v>33</v>
      </c>
    </row>
    <row r="16" spans="1:3" x14ac:dyDescent="0.3">
      <c r="A16" t="s">
        <v>23</v>
      </c>
      <c r="B16">
        <v>0.87</v>
      </c>
      <c r="C16" t="s">
        <v>33</v>
      </c>
    </row>
    <row r="17" spans="1:3" x14ac:dyDescent="0.3">
      <c r="A17" t="s">
        <v>38</v>
      </c>
      <c r="B17">
        <v>1.96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86.86</v>
      </c>
      <c r="C19" t="s">
        <v>35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1385</v>
      </c>
      <c r="C24" t="s">
        <v>46</v>
      </c>
    </row>
    <row r="25" spans="1:3" x14ac:dyDescent="0.3">
      <c r="A25" t="s">
        <v>47</v>
      </c>
      <c r="B25">
        <v>14.3</v>
      </c>
      <c r="C25" t="s">
        <v>48</v>
      </c>
    </row>
    <row r="26" spans="1:3" x14ac:dyDescent="0.3">
      <c r="A26" t="s">
        <v>52</v>
      </c>
      <c r="B26">
        <v>8.32</v>
      </c>
      <c r="C26" t="s">
        <v>48</v>
      </c>
    </row>
    <row r="27" spans="1:3" x14ac:dyDescent="0.3">
      <c r="A27" t="s">
        <v>51</v>
      </c>
      <c r="B27">
        <v>4.55</v>
      </c>
      <c r="C27" t="s">
        <v>48</v>
      </c>
    </row>
    <row r="28" spans="1:3" x14ac:dyDescent="0.3">
      <c r="A28" t="s">
        <v>49</v>
      </c>
      <c r="B28">
        <v>0.71</v>
      </c>
      <c r="C28" t="s">
        <v>48</v>
      </c>
    </row>
    <row r="29" spans="1:3" x14ac:dyDescent="0.3">
      <c r="A29" t="s">
        <v>50</v>
      </c>
      <c r="B29">
        <v>0.71</v>
      </c>
      <c r="C29" t="s">
        <v>48</v>
      </c>
    </row>
    <row r="30" spans="1:3" x14ac:dyDescent="0.3">
      <c r="A30" t="s">
        <v>53</v>
      </c>
      <c r="B30">
        <v>3633.52</v>
      </c>
      <c r="C30" t="s">
        <v>58</v>
      </c>
    </row>
    <row r="31" spans="1:3" x14ac:dyDescent="0.3">
      <c r="A31" t="s">
        <v>54</v>
      </c>
      <c r="B31">
        <v>1377</v>
      </c>
      <c r="C31" t="s">
        <v>46</v>
      </c>
    </row>
    <row r="32" spans="1:3" x14ac:dyDescent="0.3">
      <c r="A32" t="s">
        <v>55</v>
      </c>
      <c r="B32">
        <v>2264.7600000000002</v>
      </c>
      <c r="C32" t="s">
        <v>58</v>
      </c>
    </row>
    <row r="33" spans="1:3" x14ac:dyDescent="0.3">
      <c r="A33" t="s">
        <v>56</v>
      </c>
      <c r="B33">
        <v>39.909999999999997</v>
      </c>
      <c r="C33" t="s">
        <v>58</v>
      </c>
    </row>
    <row r="34" spans="1:3" x14ac:dyDescent="0.3">
      <c r="A34" t="s">
        <v>57</v>
      </c>
      <c r="B34">
        <v>6.97</v>
      </c>
      <c r="C34" t="s">
        <v>58</v>
      </c>
    </row>
    <row r="35" spans="1:3" x14ac:dyDescent="0.3">
      <c r="A35" t="s">
        <v>59</v>
      </c>
      <c r="B35">
        <v>11.01</v>
      </c>
      <c r="C35" t="s">
        <v>58</v>
      </c>
    </row>
    <row r="36" spans="1:3" x14ac:dyDescent="0.3">
      <c r="A36" t="s">
        <v>60</v>
      </c>
      <c r="B36">
        <v>4.5999999999999996</v>
      </c>
      <c r="C36" t="s">
        <v>95</v>
      </c>
    </row>
    <row r="37" spans="1:3" x14ac:dyDescent="0.3">
      <c r="A37" t="s">
        <v>61</v>
      </c>
      <c r="B37">
        <v>154.1</v>
      </c>
      <c r="C37" t="s">
        <v>58</v>
      </c>
    </row>
    <row r="38" spans="1:3" x14ac:dyDescent="0.3">
      <c r="A38" t="s">
        <v>62</v>
      </c>
      <c r="B38">
        <v>485.55</v>
      </c>
      <c r="C38" t="s">
        <v>58</v>
      </c>
    </row>
    <row r="39" spans="1:3" x14ac:dyDescent="0.3">
      <c r="A39" t="s">
        <v>63</v>
      </c>
      <c r="B39">
        <v>9.66</v>
      </c>
      <c r="C39" t="s">
        <v>58</v>
      </c>
    </row>
    <row r="40" spans="1:3" x14ac:dyDescent="0.3">
      <c r="A40" t="s">
        <v>64</v>
      </c>
      <c r="B40">
        <v>14.87</v>
      </c>
      <c r="C40" t="s">
        <v>58</v>
      </c>
    </row>
    <row r="41" spans="1:3" x14ac:dyDescent="0.3">
      <c r="A41" t="s">
        <v>65</v>
      </c>
      <c r="B41">
        <v>116.09</v>
      </c>
      <c r="C41" t="s">
        <v>58</v>
      </c>
    </row>
    <row r="42" spans="1:3" x14ac:dyDescent="0.3">
      <c r="A42" t="s">
        <v>66</v>
      </c>
      <c r="B42">
        <v>588.35</v>
      </c>
      <c r="C42" t="s">
        <v>58</v>
      </c>
    </row>
    <row r="43" spans="1:3" x14ac:dyDescent="0.3">
      <c r="A43" t="s">
        <v>67</v>
      </c>
      <c r="B43">
        <v>397.51</v>
      </c>
      <c r="C43" t="s">
        <v>58</v>
      </c>
    </row>
    <row r="44" spans="1:3" x14ac:dyDescent="0.3">
      <c r="A44" t="s">
        <v>68</v>
      </c>
      <c r="B44">
        <v>478.29</v>
      </c>
      <c r="C44" t="s">
        <v>58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1384</v>
      </c>
      <c r="C46" t="s">
        <v>46</v>
      </c>
    </row>
    <row r="47" spans="1:3" x14ac:dyDescent="0.3">
      <c r="A47" t="s">
        <v>72</v>
      </c>
      <c r="B47">
        <v>1377</v>
      </c>
      <c r="C47" t="s">
        <v>46</v>
      </c>
    </row>
    <row r="48" spans="1:3" x14ac:dyDescent="0.3">
      <c r="A48" t="s">
        <v>76</v>
      </c>
      <c r="B48">
        <v>5104.63</v>
      </c>
      <c r="C48" t="s">
        <v>58</v>
      </c>
    </row>
    <row r="49" spans="1:3" x14ac:dyDescent="0.3">
      <c r="A49" t="s">
        <v>71</v>
      </c>
      <c r="B49">
        <v>2264.7600000000002</v>
      </c>
      <c r="C49" t="s">
        <v>58</v>
      </c>
    </row>
    <row r="50" spans="1:3" x14ac:dyDescent="0.3">
      <c r="A50" t="s">
        <v>73</v>
      </c>
      <c r="B50">
        <v>831.19</v>
      </c>
      <c r="C50" t="s">
        <v>58</v>
      </c>
    </row>
    <row r="51" spans="1:3" x14ac:dyDescent="0.3">
      <c r="A51" t="s">
        <v>74</v>
      </c>
      <c r="B51">
        <v>485.55</v>
      </c>
      <c r="C51" t="s">
        <v>58</v>
      </c>
    </row>
    <row r="52" spans="1:3" x14ac:dyDescent="0.3">
      <c r="A52" t="s">
        <v>75</v>
      </c>
      <c r="B52">
        <v>345.65</v>
      </c>
      <c r="C52" t="s">
        <v>58</v>
      </c>
    </row>
    <row r="53" spans="1:3" x14ac:dyDescent="0.3">
      <c r="A53" t="s">
        <v>77</v>
      </c>
      <c r="B53">
        <v>39.909999999999997</v>
      </c>
      <c r="C53" t="s">
        <v>58</v>
      </c>
    </row>
    <row r="54" spans="1:3" x14ac:dyDescent="0.3">
      <c r="A54" t="s">
        <v>79</v>
      </c>
      <c r="B54">
        <v>14.3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0.45</v>
      </c>
      <c r="C58" t="s">
        <v>35</v>
      </c>
    </row>
    <row r="59" spans="1:3" x14ac:dyDescent="0.3">
      <c r="A59" t="s">
        <v>18</v>
      </c>
      <c r="B59">
        <v>0.45</v>
      </c>
      <c r="C59" t="s">
        <v>35</v>
      </c>
    </row>
    <row r="60" spans="1:3" x14ac:dyDescent="0.3">
      <c r="A60" t="s">
        <v>31</v>
      </c>
      <c r="B60" s="2">
        <v>-8.3799999999999996E-7</v>
      </c>
      <c r="C60" t="s">
        <v>5</v>
      </c>
    </row>
    <row r="61" spans="1:3" x14ac:dyDescent="0.3">
      <c r="A61" t="s">
        <v>32</v>
      </c>
      <c r="B61">
        <v>0.71</v>
      </c>
      <c r="C61" t="s">
        <v>33</v>
      </c>
    </row>
    <row r="62" spans="1:3" x14ac:dyDescent="0.3">
      <c r="A62" t="s">
        <v>34</v>
      </c>
      <c r="B62">
        <v>3.43</v>
      </c>
      <c r="C62" t="s">
        <v>33</v>
      </c>
    </row>
    <row r="63" spans="1:3" x14ac:dyDescent="0.3">
      <c r="A63" t="s">
        <v>21</v>
      </c>
      <c r="B63">
        <v>4.0999999999999996</v>
      </c>
      <c r="C63" t="s">
        <v>33</v>
      </c>
    </row>
    <row r="64" spans="1:3" x14ac:dyDescent="0.3">
      <c r="A64" t="s">
        <v>36</v>
      </c>
      <c r="B64">
        <v>20.43</v>
      </c>
      <c r="C64" t="s">
        <v>95</v>
      </c>
    </row>
    <row r="65" spans="1:3" x14ac:dyDescent="0.3">
      <c r="A65" t="s">
        <v>37</v>
      </c>
      <c r="B65">
        <v>17.059999999999999</v>
      </c>
      <c r="C65" t="s">
        <v>95</v>
      </c>
    </row>
    <row r="66" spans="1:3" x14ac:dyDescent="0.3">
      <c r="A66" t="s">
        <v>22</v>
      </c>
      <c r="B66">
        <v>0.35</v>
      </c>
      <c r="C66" t="s">
        <v>33</v>
      </c>
    </row>
    <row r="67" spans="1:3" x14ac:dyDescent="0.3">
      <c r="A67" t="s">
        <v>19</v>
      </c>
      <c r="B67">
        <v>11.84</v>
      </c>
      <c r="C67" t="s">
        <v>33</v>
      </c>
    </row>
    <row r="68" spans="1:3" x14ac:dyDescent="0.3">
      <c r="A68" t="s">
        <v>20</v>
      </c>
      <c r="B68">
        <v>0.23</v>
      </c>
      <c r="C68" t="s">
        <v>33</v>
      </c>
    </row>
    <row r="69" spans="1:3" x14ac:dyDescent="0.3">
      <c r="A69" t="s">
        <v>23</v>
      </c>
      <c r="B69">
        <v>3.38</v>
      </c>
      <c r="C69" t="s">
        <v>95</v>
      </c>
    </row>
    <row r="70" spans="1:3" x14ac:dyDescent="0.3">
      <c r="A70" t="s">
        <v>38</v>
      </c>
      <c r="B70">
        <v>5.12</v>
      </c>
      <c r="C70" t="s">
        <v>95</v>
      </c>
    </row>
    <row r="71" spans="1:3" x14ac:dyDescent="0.3">
      <c r="A71" t="s">
        <v>39</v>
      </c>
    </row>
    <row r="72" spans="1:3" x14ac:dyDescent="0.3">
      <c r="A72" t="s">
        <v>41</v>
      </c>
      <c r="B72">
        <v>0.87</v>
      </c>
      <c r="C72" t="s">
        <v>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313-A1D1-468D-BB33-F3C1C097A547}">
  <sheetPr codeName="Sheet44"/>
  <dimension ref="A1:I20"/>
  <sheetViews>
    <sheetView workbookViewId="0">
      <selection activeCell="C19" sqref="C19"/>
    </sheetView>
  </sheetViews>
  <sheetFormatPr defaultRowHeight="14.4" x14ac:dyDescent="0.3"/>
  <cols>
    <col min="1" max="1" width="59" customWidth="1"/>
    <col min="4" max="9" width="12" bestFit="1" customWidth="1"/>
  </cols>
  <sheetData>
    <row r="1" spans="1:9" x14ac:dyDescent="0.3">
      <c r="A1" s="8" t="s">
        <v>529</v>
      </c>
      <c r="C1" t="s">
        <v>28</v>
      </c>
    </row>
    <row r="2" spans="1:9" x14ac:dyDescent="0.3">
      <c r="A2" t="s">
        <v>530</v>
      </c>
      <c r="B2" t="s">
        <v>3</v>
      </c>
      <c r="C2" t="s">
        <v>446</v>
      </c>
      <c r="D2" t="s">
        <v>447</v>
      </c>
      <c r="E2" t="s">
        <v>448</v>
      </c>
      <c r="F2" t="s">
        <v>449</v>
      </c>
      <c r="G2" t="s">
        <v>450</v>
      </c>
      <c r="H2" t="s">
        <v>451</v>
      </c>
      <c r="I2" t="s">
        <v>452</v>
      </c>
    </row>
    <row r="3" spans="1:9" x14ac:dyDescent="0.3">
      <c r="A3" t="s">
        <v>531</v>
      </c>
      <c r="B3" t="s">
        <v>12</v>
      </c>
      <c r="C3">
        <f>Sunflower_AtFarm_inputs_Simapro!F9*'Diesel building maching_GREET'!Q19</f>
        <v>0.16952717</v>
      </c>
      <c r="D3">
        <f>Sunflower_AtFarm_inputs_Simapro!F9*'Diesel building maching_GREET'!Q18</f>
        <v>3.2638300000000002E-4</v>
      </c>
      <c r="E3">
        <f>Sunflower_AtFarm_inputs_Simapro!F9*'Diesel building maching_GREET'!Q20</f>
        <v>7.4876099999999991E-7</v>
      </c>
      <c r="F3">
        <f>Sunflower_AtFarm_inputs_Simapro!F9*'Diesel building maching_GREET'!Q14</f>
        <v>1.4163102299999999E-4</v>
      </c>
      <c r="G3">
        <f>Sunflower_AtFarm_inputs_Simapro!F9*'Diesel building maching_GREET'!Q17</f>
        <v>3.0430414999999997E-5</v>
      </c>
      <c r="H3">
        <f>Sunflower_AtFarm_inputs_Simapro!F9*'Diesel building maching_GREET'!Q21</f>
        <v>7.1036299999999994E-7</v>
      </c>
      <c r="I3">
        <f>Sunflower_AtFarm_inputs_Simapro!F9*'Diesel building maching_GREET'!Q22</f>
        <v>1.267134E-6</v>
      </c>
    </row>
    <row r="4" spans="1:9" x14ac:dyDescent="0.3">
      <c r="A4" t="s">
        <v>532</v>
      </c>
      <c r="B4" t="s">
        <v>16</v>
      </c>
      <c r="C4">
        <f>Sunflower_AtFarm_inputs_Simapro!$B$9*'HD Truck_GREET'!B5</f>
        <v>5.2310175000000003E-4</v>
      </c>
      <c r="D4">
        <f>Sunflower_AtFarm_inputs_Simapro!$B$9*'HD Truck_GREET'!C5</f>
        <v>2.0611499999999999E-8</v>
      </c>
      <c r="E4">
        <f>Sunflower_AtFarm_inputs_Simapro!$B$9*'HD Truck_GREET'!D5</f>
        <v>8.4382575000000006E-10</v>
      </c>
      <c r="F4">
        <f>Sunflower_AtFarm_inputs_Simapro!$B$9*'HD Truck_GREET'!E5</f>
        <v>4.8686175E-7</v>
      </c>
      <c r="G4">
        <f>Sunflower_AtFarm_inputs_Simapro!$B$9*'HD Truck_GREET'!F5</f>
        <v>5.0016001247560986E-9</v>
      </c>
      <c r="H4">
        <f>Sunflower_AtFarm_inputs_Simapro!$B$9*'HD Truck_GREET'!G5</f>
        <v>8.9863875000000003E-10</v>
      </c>
      <c r="I4">
        <f>Sunflower_AtFarm_inputs_Simapro!$B$9*'HD Truck_GREET'!H5</f>
        <v>1.5855000000000002E-9</v>
      </c>
    </row>
    <row r="5" spans="1:9" x14ac:dyDescent="0.3">
      <c r="A5" t="s">
        <v>533</v>
      </c>
      <c r="B5" t="s">
        <v>5</v>
      </c>
      <c r="C5">
        <f>Sunflower_AtFarm_inputs_Simapro!B10*'Canola oil_GREET'!B5</f>
        <v>3.5702999999999999E-4</v>
      </c>
      <c r="D5">
        <f>Sunflower_AtFarm_inputs_Simapro!B10*'Canola oil_GREET'!B14*10^-3</f>
        <v>9.28278E-7</v>
      </c>
      <c r="E5">
        <f>Sunflower_AtFarm_inputs_Simapro!B10*'Canola oil_GREET'!B15*10^-3</f>
        <v>1.6542389999999998E-6</v>
      </c>
      <c r="F5">
        <f>Sunflower_AtFarm_inputs_Simapro!B10*'Canola oil_GREET'!B10*10^-3</f>
        <v>2.1064770000000001E-6</v>
      </c>
      <c r="G5">
        <f>Sunflower_AtFarm_inputs_Simapro!B10*'Canola oil_GREET'!B13*10^-3</f>
        <v>2.3087940000000001E-6</v>
      </c>
      <c r="H5">
        <f>Sunflower_AtFarm_inputs_Simapro!B10*'Canola oil_GREET'!B16*10^-6</f>
        <v>2.7848339999999995E-8</v>
      </c>
      <c r="I5">
        <f>Sunflower_AtFarm_inputs_Simapro!B10*'Canola oil_GREET'!B17*10^-6</f>
        <v>1.8517955999999997E-8</v>
      </c>
    </row>
    <row r="6" spans="1:9" x14ac:dyDescent="0.3">
      <c r="A6" t="s">
        <v>534</v>
      </c>
      <c r="B6" t="s">
        <v>5</v>
      </c>
      <c r="C6">
        <f>Sunflower_AtFarm_inputs_Simapro!$B$11*'Grain drying_Results'!D5</f>
        <v>0.17891550000000003</v>
      </c>
      <c r="D6">
        <f>Sunflower_AtFarm_inputs_Simapro!$B$11*'Grain drying_Results'!E5</f>
        <v>4.1746950000000002E-4</v>
      </c>
      <c r="E6">
        <f>Sunflower_AtFarm_inputs_Simapro!$B$11*'Grain drying_Results'!F5</f>
        <v>2.6704794999999998E-6</v>
      </c>
      <c r="F6">
        <f>Sunflower_AtFarm_inputs_Simapro!$B$11*'Grain drying_Results'!G5</f>
        <v>1.4975890000000001E-4</v>
      </c>
      <c r="G6">
        <f>Sunflower_AtFarm_inputs_Simapro!$B$11*'Grain drying_Results'!H5</f>
        <v>1.4921817759999998E-4</v>
      </c>
      <c r="H6">
        <f>Sunflower_AtFarm_inputs_Simapro!$B$11*'Grain drying_Results'!I5</f>
        <v>9.4228829999999998E-7</v>
      </c>
      <c r="I6">
        <f>Sunflower_AtFarm_inputs_Simapro!$B$11*'Grain drying_Results'!J5</f>
        <v>2.2967448999999998E-6</v>
      </c>
    </row>
    <row r="7" spans="1:9" x14ac:dyDescent="0.3">
      <c r="A7" t="s">
        <v>514</v>
      </c>
      <c r="B7" t="s">
        <v>5</v>
      </c>
      <c r="C7">
        <f>Sunflower_AtFarm_inputs_Simapro!B12*'Ammonium nitrate_GREET'!B5</f>
        <v>8.1172980000000002E-3</v>
      </c>
      <c r="D7">
        <f>Sunflower_AtFarm_inputs_Simapro!B12*'Ammonium nitrate_GREET'!B14*10^-3</f>
        <v>2.4480739999999997E-5</v>
      </c>
      <c r="E7">
        <f>Sunflower_AtFarm_inputs_Simapro!B12*'Ammonium nitrate_GREET'!B15*10^-3</f>
        <v>2.4287470999999998E-5</v>
      </c>
      <c r="F7">
        <f>Sunflower_AtFarm_inputs_Simapro!B12*'Ammonium nitrate_GREET'!B10*10^-3</f>
        <v>2.2161511999999997E-5</v>
      </c>
      <c r="G7">
        <f>Sunflower_AtFarm_inputs_Simapro!B12*'Ammonium nitrate_GREET'!B13*10^-3</f>
        <v>7.9884520000000002E-6</v>
      </c>
      <c r="H7">
        <f>Sunflower_AtFarm_inputs_Simapro!B12*'Ammonium nitrate_GREET'!B16*10^-6</f>
        <v>1.4649790199999998E-7</v>
      </c>
      <c r="I7">
        <f>Sunflower_AtFarm_inputs_Simapro!B12*'Ammonium nitrate_GREET'!B17*10^-6</f>
        <v>4.1063220199999996E-7</v>
      </c>
    </row>
    <row r="8" spans="1:9" x14ac:dyDescent="0.3">
      <c r="A8" t="s">
        <v>515</v>
      </c>
      <c r="B8" t="s">
        <v>5</v>
      </c>
      <c r="C8">
        <f>Sunflower_AtFarm_inputs_Simapro!B13*Urea_GREET!B5</f>
        <v>2.4435000000000004E-3</v>
      </c>
      <c r="D8">
        <f>Sunflower_AtFarm_inputs_Simapro!B13*Urea_GREET!B14*10^-3</f>
        <v>1.2624750000000001E-5</v>
      </c>
      <c r="E8">
        <f>Sunflower_AtFarm_inputs_Simapro!B13*Urea_GREET!B15*10^-6</f>
        <v>8.9051999999999996E-8</v>
      </c>
      <c r="F8">
        <f>Sunflower_AtFarm_inputs_Simapro!B13*Urea_GREET!B10*10^-3</f>
        <v>6.3802500000000005E-6</v>
      </c>
      <c r="G8">
        <f>Sunflower_AtFarm_inputs_Simapro!B13*Urea_GREET!B13*10^-3</f>
        <v>2.7149999999999998E-6</v>
      </c>
      <c r="H8">
        <f>Sunflower_AtFarm_inputs_Simapro!B13*Urea_GREET!B16*10^-6</f>
        <v>5.1652874999999996E-8</v>
      </c>
      <c r="I8">
        <f>Sunflower_AtFarm_inputs_Simapro!B13*Urea_GREET!B17*10^-6</f>
        <v>1.3423412500000001E-7</v>
      </c>
    </row>
    <row r="9" spans="1:9" x14ac:dyDescent="0.3">
      <c r="A9" t="s">
        <v>216</v>
      </c>
      <c r="B9" t="s">
        <v>5</v>
      </c>
      <c r="C9">
        <f>Sunflower_AtFarm_inputs_Simapro!B14*'Diammonium phosphate_GREET'!B5</f>
        <v>1.49431E-3</v>
      </c>
      <c r="D9">
        <f>Sunflower_AtFarm_inputs_Simapro!B14*'Diammonium phosphate_GREET'!B14*10^-3</f>
        <v>3.96317E-6</v>
      </c>
      <c r="E9">
        <f>Sunflower_AtFarm_inputs_Simapro!B14*'Diammonium phosphate_GREET'!B15*10^-6</f>
        <v>3.1133623999999999E-8</v>
      </c>
      <c r="F9">
        <f>Sunflower_AtFarm_inputs_Simapro!B14*'Diammonium phosphate_GREET'!B10*10^-3</f>
        <v>5.1976E-6</v>
      </c>
      <c r="G9">
        <f>Sunflower_AtFarm_inputs_Simapro!B14*'Diammonium phosphate_GREET'!B13*10^-3</f>
        <v>5.9902340000000007E-5</v>
      </c>
      <c r="H9">
        <f>Sunflower_AtFarm_inputs_Simapro!B14*'Diammonium phosphate_GREET'!B16*10^-6</f>
        <v>4.7687980000000003E-8</v>
      </c>
      <c r="I9">
        <f>Sunflower_AtFarm_inputs_Simapro!B14*'Diammonium phosphate_GREET'!B17*10^-6</f>
        <v>1.1272295E-7</v>
      </c>
    </row>
    <row r="10" spans="1:9" x14ac:dyDescent="0.3">
      <c r="A10" t="s">
        <v>516</v>
      </c>
      <c r="B10" t="s">
        <v>5</v>
      </c>
      <c r="C10">
        <f>Sunflower_AtFarm_inputs_Simapro!B15*'Ammonium nitrate_GREET'!B5</f>
        <v>4.0711860000000001E-3</v>
      </c>
      <c r="D10">
        <f>Sunflower_AtFarm_inputs_Simapro!B15*'Ammonium nitrate_GREET'!B14*10^-3</f>
        <v>1.2278180000000001E-5</v>
      </c>
      <c r="E10">
        <f>Sunflower_AtFarm_inputs_Simapro!B15*'Ammonium nitrate_GREET'!B15*10^-3</f>
        <v>1.2181247000000001E-5</v>
      </c>
      <c r="F10">
        <f>Sunflower_AtFarm_inputs_Simapro!B15*'Ammonium nitrate_GREET'!B10*10^-3</f>
        <v>1.1114984000000002E-5</v>
      </c>
      <c r="G10">
        <f>Sunflower_AtFarm_inputs_Simapro!B15*'Ammonium nitrate_GREET'!B13*10^-3</f>
        <v>4.0065640000000006E-6</v>
      </c>
      <c r="H10">
        <f>Sunflower_AtFarm_inputs_Simapro!B15*'Ammonium nitrate_GREET'!B16*10^-6</f>
        <v>7.3475213999999997E-8</v>
      </c>
      <c r="I10">
        <f>Sunflower_AtFarm_inputs_Simapro!B15*'Ammonium nitrate_GREET'!B17*10^-6</f>
        <v>2.0595031400000002E-7</v>
      </c>
    </row>
    <row r="11" spans="1:9" x14ac:dyDescent="0.3">
      <c r="A11" t="s">
        <v>517</v>
      </c>
      <c r="B11" t="s">
        <v>5</v>
      </c>
      <c r="C11">
        <f>Sunflower_AtFarm_inputs_Simapro!B16*'Ammonium sulfate_GREET'!B5</f>
        <v>3.3637499999999998E-4</v>
      </c>
      <c r="D11">
        <f>Sunflower_AtFarm_inputs_Simapro!B16*'Ammonium sulfate_GREET'!B14*10^-3</f>
        <v>1.0237499999999999E-6</v>
      </c>
      <c r="E11">
        <f>Sunflower_AtFarm_inputs_Simapro!B16*'Ammonium sulfate_GREET'!B15*10^-6</f>
        <v>6.6689999999999992E-9</v>
      </c>
      <c r="F11">
        <f>Sunflower_AtFarm_inputs_Simapro!B16*'Ammonium sulfate_GREET'!B10*10^-3</f>
        <v>5.1674999999999997E-7</v>
      </c>
      <c r="G11">
        <f>Sunflower_AtFarm_inputs_Simapro!B16*'Ammonium sulfate_GREET'!B13*10^-3</f>
        <v>7.4197500000000004E-6</v>
      </c>
      <c r="H11">
        <f>Sunflower_AtFarm_inputs_Simapro!B16*'Ammonium sulfate_GREET'!B16*10^-6</f>
        <v>3.4466249999999998E-9</v>
      </c>
      <c r="I11">
        <f>Sunflower_AtFarm_inputs_Simapro!B16*'Ammonium sulfate_GREET'!B17*10^-6</f>
        <v>9.7256250000000001E-9</v>
      </c>
    </row>
    <row r="12" spans="1:9" x14ac:dyDescent="0.3">
      <c r="A12" t="s">
        <v>518</v>
      </c>
      <c r="B12" t="s">
        <v>5</v>
      </c>
      <c r="C12">
        <f>Sunflower_AtFarm_inputs_Simapro!B17*'Triple superphosphate_GREET'!B5</f>
        <v>2.7219060000000001E-3</v>
      </c>
      <c r="D12">
        <f>Sunflower_AtFarm_inputs_Simapro!B17*'Triple superphosphate_GREET'!B14*10^-3</f>
        <v>6.1358220000000008E-6</v>
      </c>
      <c r="E12">
        <f>Sunflower_AtFarm_inputs_Simapro!B17*'Triple superphosphate_GREET'!B15*10^-6</f>
        <v>6.0297137999999998E-8</v>
      </c>
      <c r="F12">
        <f>Sunflower_AtFarm_inputs_Simapro!B17*'Triple superphosphate_GREET'!B10*10^-3</f>
        <v>1.4993550000000001E-5</v>
      </c>
      <c r="G12">
        <f>Sunflower_AtFarm_inputs_Simapro!B17*'Triple superphosphate_GREET'!B13*10^-3</f>
        <v>1.65528792E-4</v>
      </c>
      <c r="H12">
        <f>Sunflower_AtFarm_inputs_Simapro!B17*'Triple superphosphate_GREET'!B16*10^-6</f>
        <v>1.5524091E-7</v>
      </c>
      <c r="I12">
        <f>Sunflower_AtFarm_inputs_Simapro!B17*'Triple superphosphate_GREET'!B17*10^-6</f>
        <v>3.3996144599999999E-7</v>
      </c>
    </row>
    <row r="13" spans="1:9" x14ac:dyDescent="0.3">
      <c r="A13" t="s">
        <v>519</v>
      </c>
      <c r="B13" t="s">
        <v>5</v>
      </c>
      <c r="C13">
        <f>Sunflower_AtFarm_inputs_Simapro!B18*'Triple superphosphate_GREET'!B5</f>
        <v>1.097223E-4</v>
      </c>
      <c r="D13">
        <f>Sunflower_AtFarm_inputs_Simapro!B18*'Triple superphosphate_GREET'!B14*10^-3</f>
        <v>2.4734010000000004E-7</v>
      </c>
      <c r="E13">
        <f>Sunflower_AtFarm_inputs_Simapro!B18*'Triple superphosphate_GREET'!B15*10^-6</f>
        <v>2.4306279000000001E-9</v>
      </c>
      <c r="F13">
        <f>Sunflower_AtFarm_inputs_Simapro!B18*'Triple superphosphate_GREET'!B10*10^-3</f>
        <v>6.0440250000000005E-7</v>
      </c>
      <c r="G13">
        <f>Sunflower_AtFarm_inputs_Simapro!B18*'Triple superphosphate_GREET'!B13*10^-3</f>
        <v>6.6726036000000015E-6</v>
      </c>
      <c r="H13">
        <f>Sunflower_AtFarm_inputs_Simapro!B18*'Triple superphosphate_GREET'!B16*10^-6</f>
        <v>6.2578904999999995E-9</v>
      </c>
      <c r="I13">
        <f>Sunflower_AtFarm_inputs_Simapro!B18*'Triple superphosphate_GREET'!B17*10^-6</f>
        <v>1.3704129299999998E-8</v>
      </c>
    </row>
    <row r="14" spans="1:9" x14ac:dyDescent="0.3">
      <c r="A14" t="s">
        <v>217</v>
      </c>
      <c r="B14" t="s">
        <v>5</v>
      </c>
      <c r="C14">
        <f>Sunflower_AtFarm_inputs_Simapro!B19*'Diammonium phosphate_GREET'!B5</f>
        <v>3.6131849999999997E-3</v>
      </c>
      <c r="D14">
        <f>Sunflower_AtFarm_inputs_Simapro!B19*'Diammonium phosphate_GREET'!B14*10^-3</f>
        <v>9.5827950000000005E-6</v>
      </c>
      <c r="E14">
        <f>Sunflower_AtFarm_inputs_Simapro!B19*'Diammonium phosphate_GREET'!B15*10^-6</f>
        <v>7.5279923999999999E-8</v>
      </c>
      <c r="F14">
        <f>Sunflower_AtFarm_inputs_Simapro!B19*'Diammonium phosphate_GREET'!B10*10^-3</f>
        <v>1.25676E-5</v>
      </c>
      <c r="G14">
        <f>Sunflower_AtFarm_inputs_Simapro!B19*'Diammonium phosphate_GREET'!B13*10^-3</f>
        <v>1.4484158999999999E-4</v>
      </c>
      <c r="H14">
        <f>Sunflower_AtFarm_inputs_Simapro!B19*'Diammonium phosphate_GREET'!B16*10^-6</f>
        <v>1.1530773E-7</v>
      </c>
      <c r="I14">
        <f>Sunflower_AtFarm_inputs_Simapro!B19*'Diammonium phosphate_GREET'!B17*10^-6</f>
        <v>2.7255982499999995E-7</v>
      </c>
    </row>
    <row r="15" spans="1:9" x14ac:dyDescent="0.3">
      <c r="A15" t="s">
        <v>520</v>
      </c>
      <c r="B15" t="s">
        <v>5</v>
      </c>
      <c r="C15">
        <f>Sunflower_AtFarm_inputs_Simapro!B20*'Phosphoric rock_GREET'!B5</f>
        <v>9.1800000000000009E-4</v>
      </c>
      <c r="D15">
        <f>Sunflower_AtFarm_inputs_Simapro!B20*'Phosphoric rock_GREET'!B14*10^-3</f>
        <v>2.187E-6</v>
      </c>
      <c r="E15">
        <f>Sunflower_AtFarm_inputs_Simapro!B20*'Phosphoric rock_GREET'!B15*10^-6</f>
        <v>2.133E-8</v>
      </c>
      <c r="F15">
        <f>Sunflower_AtFarm_inputs_Simapro!B20*'Phosphoric rock_GREET'!B10*10^-3</f>
        <v>3.8070000000000001E-6</v>
      </c>
      <c r="G15">
        <f>Sunflower_AtFarm_inputs_Simapro!B20*'Phosphoric rock_GREET'!B13*10^-3</f>
        <v>1.8360000000000003E-6</v>
      </c>
      <c r="H15">
        <f>Sunflower_AtFarm_inputs_Simapro!B20*'Phosphoric rock_GREET'!B16*10^-6</f>
        <v>5.0679E-8</v>
      </c>
      <c r="I15">
        <f>Sunflower_AtFarm_inputs_Simapro!B20*'Phosphoric rock_GREET'!B17*10^-6</f>
        <v>8.5590000000000001E-8</v>
      </c>
    </row>
    <row r="16" spans="1:9" x14ac:dyDescent="0.3">
      <c r="A16" t="s">
        <v>521</v>
      </c>
      <c r="B16" t="s">
        <v>5</v>
      </c>
      <c r="C16">
        <f>Sunflower_AtFarm_inputs_Simapro!B21*'Phosphoric acid_GREET'!B5</f>
        <v>7.8160860000000003E-4</v>
      </c>
      <c r="D16">
        <f>Sunflower_AtFarm_inputs_Simapro!B21*'Phosphoric acid_GREET'!B14*10^-3</f>
        <v>2.0240163000000003E-6</v>
      </c>
      <c r="E16">
        <f>Sunflower_AtFarm_inputs_Simapro!B21*'Phosphoric acid_GREET'!B15*10^-6</f>
        <v>1.6367117399999998E-8</v>
      </c>
      <c r="F16">
        <f>Sunflower_AtFarm_inputs_Simapro!B21*'Phosphoric acid_GREET'!B10*10^-3</f>
        <v>2.9922777000000001E-6</v>
      </c>
      <c r="G16">
        <f>Sunflower_AtFarm_inputs_Simapro!B21*'Phosphoric acid_GREET'!B13*10^-3</f>
        <v>3.5685682199999997E-5</v>
      </c>
      <c r="H16">
        <f>Sunflower_AtFarm_inputs_Simapro!B21*'Phosphoric acid_GREET'!B16*10^-6</f>
        <v>2.7677110500000001E-8</v>
      </c>
      <c r="I16">
        <f>Sunflower_AtFarm_inputs_Simapro!B21*'Phosphoric acid_GREET'!B17*10^-3</f>
        <v>6.4161899999999997E-8</v>
      </c>
    </row>
    <row r="17" spans="1:9" x14ac:dyDescent="0.3">
      <c r="A17" t="s">
        <v>522</v>
      </c>
      <c r="B17" t="s">
        <v>5</v>
      </c>
      <c r="C17">
        <f>Sunflower_AtFarm_inputs_Simapro!B22*'Potassium chloride_GREET'!B5</f>
        <v>4.2079350000000003E-3</v>
      </c>
      <c r="D17">
        <f>Sunflower_AtFarm_inputs_Simapro!B22*'Potassium chloride_GREET'!B14*10^-3</f>
        <v>8.654055000000001E-6</v>
      </c>
      <c r="E17">
        <f>Sunflower_AtFarm_inputs_Simapro!B22*'Potassium chloride_GREET'!B15*10^-6</f>
        <v>8.2729589999999995E-8</v>
      </c>
      <c r="F17">
        <f>Sunflower_AtFarm_inputs_Simapro!B22*'Potassium chloride_GREET'!B10*10^-3</f>
        <v>1.2226830000000002E-5</v>
      </c>
      <c r="G17">
        <f>Sunflower_AtFarm_inputs_Simapro!B22*'Potassium chloride_GREET'!B13*10^-3</f>
        <v>1.5402629999999999E-5</v>
      </c>
      <c r="H17">
        <f>Sunflower_AtFarm_inputs_Simapro!B22*'Potassium chloride_GREET'!B16*10^-6</f>
        <v>1.0519837500000001E-7</v>
      </c>
      <c r="I17">
        <f>Sunflower_AtFarm_inputs_Simapro!B22*'Potassium chloride_GREET'!B17*10^-6</f>
        <v>2.7677096999999998E-7</v>
      </c>
    </row>
    <row r="18" spans="1:9" x14ac:dyDescent="0.3">
      <c r="A18" t="s">
        <v>523</v>
      </c>
      <c r="B18" t="s">
        <v>5</v>
      </c>
      <c r="C18">
        <f>Sunflower_AtFarm_inputs_Simapro!B23*'Potassium chloride_GREET'!B5</f>
        <v>2.7600810000000004E-4</v>
      </c>
      <c r="D18">
        <f>Sunflower_AtFarm_inputs_Simapro!B23*'Potassium chloride_GREET'!B14*10^-3</f>
        <v>5.6763930000000013E-7</v>
      </c>
      <c r="E18">
        <f>Sunflower_AtFarm_inputs_Simapro!B23*'Potassium chloride_GREET'!B15*10^-6</f>
        <v>5.4264234000000002E-9</v>
      </c>
      <c r="F18">
        <f>Sunflower_AtFarm_inputs_Simapro!B23*'Potassium chloride_GREET'!B10*10^-3</f>
        <v>8.0198580000000017E-7</v>
      </c>
      <c r="G18">
        <f>Sunflower_AtFarm_inputs_Simapro!B23*'Potassium chloride_GREET'!B13*10^-3</f>
        <v>1.0102938E-6</v>
      </c>
      <c r="H18">
        <f>Sunflower_AtFarm_inputs_Simapro!B23*'Potassium chloride_GREET'!B16*10^-6</f>
        <v>6.9002025000000006E-9</v>
      </c>
      <c r="I18">
        <f>Sunflower_AtFarm_inputs_Simapro!B23*'Potassium chloride_GREET'!B17*10^-6</f>
        <v>1.8154042200000002E-8</v>
      </c>
    </row>
    <row r="19" spans="1:9" x14ac:dyDescent="0.3">
      <c r="A19" t="s">
        <v>524</v>
      </c>
      <c r="B19" t="s">
        <v>16</v>
      </c>
      <c r="C19">
        <f>Sunflower_AtFarm_inputs_Simapro!$B$24*'Container ship_GREET'!C7</f>
        <v>8.8004946950621759E-4</v>
      </c>
      <c r="D19">
        <f>Sunflower_AtFarm_inputs_Simapro!$B$24*'Container ship_GREET'!D7</f>
        <v>8.3921420600395852E-9</v>
      </c>
      <c r="E19">
        <f>Sunflower_AtFarm_inputs_Simapro!$B$24*'Container ship_GREET'!E7</f>
        <v>4.384841536404819E-8</v>
      </c>
      <c r="F19">
        <f>Sunflower_AtFarm_inputs_Simapro!$B$24*'Container ship_GREET'!F7</f>
        <v>2.2706633081775245E-5</v>
      </c>
      <c r="G19">
        <f>Sunflower_AtFarm_inputs_Simapro!$B$24*'Container ship_GREET'!G7</f>
        <v>1.4974767382517103E-5</v>
      </c>
      <c r="H19">
        <f>Sunflower_AtFarm_inputs_Simapro!$B$24*'Container ship_GREET'!H7</f>
        <v>1.1370736863725612E-7</v>
      </c>
      <c r="I19">
        <f>Sunflower_AtFarm_inputs_Simapro!$B$24*'Container ship_GREET'!I7</f>
        <v>1.3312082181922669E-7</v>
      </c>
    </row>
    <row r="20" spans="1:9" x14ac:dyDescent="0.3">
      <c r="A20" t="s">
        <v>25</v>
      </c>
      <c r="C20">
        <f>SUM(C3:C19)</f>
        <v>0.37929388521950624</v>
      </c>
      <c r="D20">
        <f t="shared" ref="D20:I20" si="0">SUM(D3:D19)</f>
        <v>8.2857903934205996E-4</v>
      </c>
      <c r="E20">
        <f t="shared" si="0"/>
        <v>4.1977605185814041E-5</v>
      </c>
      <c r="F20">
        <f t="shared" si="0"/>
        <v>4.1005463683177517E-4</v>
      </c>
      <c r="G20">
        <f t="shared" si="0"/>
        <v>6.4994685318264171E-4</v>
      </c>
      <c r="H20">
        <f t="shared" si="0"/>
        <v>2.585127461887256E-6</v>
      </c>
      <c r="I20">
        <f t="shared" si="0"/>
        <v>5.661270706319227E-6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A969-3B2B-4250-B22E-38978FC3D3DD}">
  <sheetPr codeName="Sheet1"/>
  <dimension ref="A1:C22"/>
  <sheetViews>
    <sheetView workbookViewId="0">
      <selection activeCell="A2" sqref="A2"/>
    </sheetView>
  </sheetViews>
  <sheetFormatPr defaultRowHeight="14.4" x14ac:dyDescent="0.3"/>
  <cols>
    <col min="1" max="1" width="19.77734375" customWidth="1"/>
  </cols>
  <sheetData>
    <row r="1" spans="1:3" x14ac:dyDescent="0.3">
      <c r="A1" t="s">
        <v>656</v>
      </c>
    </row>
    <row r="2" spans="1:3" x14ac:dyDescent="0.3">
      <c r="A2" s="11" t="s">
        <v>641</v>
      </c>
      <c r="B2" s="11"/>
      <c r="C2" s="11"/>
    </row>
    <row r="3" spans="1:3" x14ac:dyDescent="0.3">
      <c r="A3" s="11" t="s">
        <v>575</v>
      </c>
      <c r="B3" s="11">
        <v>17.940000000000001</v>
      </c>
      <c r="C3" s="11" t="s">
        <v>35</v>
      </c>
    </row>
    <row r="4" spans="1:3" x14ac:dyDescent="0.3">
      <c r="A4" s="11" t="s">
        <v>574</v>
      </c>
      <c r="B4" s="11">
        <v>1.57</v>
      </c>
      <c r="C4" s="11" t="s">
        <v>35</v>
      </c>
    </row>
    <row r="5" spans="1:3" x14ac:dyDescent="0.3">
      <c r="A5" s="11" t="s">
        <v>642</v>
      </c>
      <c r="B5" s="11">
        <v>1.1200000000000001</v>
      </c>
      <c r="C5" s="11" t="s">
        <v>35</v>
      </c>
    </row>
    <row r="6" spans="1:3" x14ac:dyDescent="0.3">
      <c r="A6" s="11" t="s">
        <v>492</v>
      </c>
      <c r="B6" s="11">
        <v>0.56000000000000005</v>
      </c>
      <c r="C6" s="11" t="s">
        <v>35</v>
      </c>
    </row>
    <row r="7" spans="1:3" x14ac:dyDescent="0.3">
      <c r="A7" s="11" t="s">
        <v>79</v>
      </c>
      <c r="B7" s="11">
        <v>3.77</v>
      </c>
      <c r="C7" s="11" t="s">
        <v>35</v>
      </c>
    </row>
    <row r="8" spans="1:3" x14ac:dyDescent="0.3">
      <c r="A8" s="11" t="s">
        <v>643</v>
      </c>
      <c r="B8" s="11"/>
      <c r="C8" s="11"/>
    </row>
    <row r="9" spans="1:3" x14ac:dyDescent="0.3">
      <c r="A9" s="11" t="s">
        <v>644</v>
      </c>
      <c r="B9" s="11">
        <v>0.18</v>
      </c>
      <c r="C9" s="11" t="s">
        <v>35</v>
      </c>
    </row>
    <row r="10" spans="1:3" x14ac:dyDescent="0.3">
      <c r="A10" s="11" t="s">
        <v>645</v>
      </c>
      <c r="B10" s="11"/>
      <c r="C10" s="11"/>
    </row>
    <row r="11" spans="1:3" x14ac:dyDescent="0.3">
      <c r="A11" s="11" t="s">
        <v>9</v>
      </c>
      <c r="B11" s="11">
        <f>2.15*10^-3</f>
        <v>2.15E-3</v>
      </c>
      <c r="C11" s="11" t="s">
        <v>10</v>
      </c>
    </row>
    <row r="12" spans="1:3" x14ac:dyDescent="0.3">
      <c r="A12" s="11" t="s">
        <v>576</v>
      </c>
      <c r="B12" s="11">
        <f>8.99*10^-3</f>
        <v>8.9899999999999997E-3</v>
      </c>
      <c r="C12" s="11" t="s">
        <v>46</v>
      </c>
    </row>
    <row r="13" spans="1:3" x14ac:dyDescent="0.3">
      <c r="A13" s="11" t="s">
        <v>646</v>
      </c>
      <c r="B13" s="11"/>
      <c r="C13" s="11"/>
    </row>
    <row r="14" spans="1:3" x14ac:dyDescent="0.3">
      <c r="A14" s="11" t="s">
        <v>575</v>
      </c>
      <c r="B14" s="11">
        <f>7.5*10^-3</f>
        <v>7.4999999999999997E-3</v>
      </c>
      <c r="C14" s="11" t="s">
        <v>16</v>
      </c>
    </row>
    <row r="15" spans="1:3" x14ac:dyDescent="0.3">
      <c r="A15" s="11" t="s">
        <v>574</v>
      </c>
      <c r="B15" s="11">
        <f>3.19*10^-3</f>
        <v>3.1900000000000001E-3</v>
      </c>
      <c r="C15" s="11" t="s">
        <v>16</v>
      </c>
    </row>
    <row r="16" spans="1:3" x14ac:dyDescent="0.3">
      <c r="A16" s="11" t="s">
        <v>642</v>
      </c>
      <c r="B16" s="11">
        <f>1.12*10^-3</f>
        <v>1.1200000000000001E-3</v>
      </c>
      <c r="C16" s="11" t="s">
        <v>16</v>
      </c>
    </row>
    <row r="17" spans="1:3" x14ac:dyDescent="0.3">
      <c r="A17" s="11" t="s">
        <v>492</v>
      </c>
      <c r="B17" s="11">
        <f>5.11*10^-4</f>
        <v>5.1100000000000006E-4</v>
      </c>
      <c r="C17" s="11" t="s">
        <v>16</v>
      </c>
    </row>
    <row r="18" spans="1:3" x14ac:dyDescent="0.3">
      <c r="A18" s="11" t="s">
        <v>647</v>
      </c>
      <c r="B18" s="11">
        <f>2.22*10^-4</f>
        <v>2.2200000000000003E-4</v>
      </c>
      <c r="C18" s="11" t="s">
        <v>16</v>
      </c>
    </row>
    <row r="19" spans="1:3" x14ac:dyDescent="0.3">
      <c r="A19" s="11" t="s">
        <v>648</v>
      </c>
      <c r="B19" s="11">
        <f>1.47*10^-3</f>
        <v>1.47E-3</v>
      </c>
      <c r="C19" s="11" t="s">
        <v>16</v>
      </c>
    </row>
    <row r="20" spans="1:3" x14ac:dyDescent="0.3">
      <c r="A20" s="11" t="s">
        <v>649</v>
      </c>
      <c r="B20" s="11">
        <f>4.48*10^-5</f>
        <v>4.4800000000000005E-5</v>
      </c>
      <c r="C20" s="11" t="s">
        <v>16</v>
      </c>
    </row>
    <row r="21" spans="1:3" x14ac:dyDescent="0.3">
      <c r="A21" s="11" t="s">
        <v>491</v>
      </c>
    </row>
    <row r="22" spans="1:3" x14ac:dyDescent="0.3">
      <c r="A22" s="12" t="s">
        <v>654</v>
      </c>
      <c r="B22" s="12">
        <v>22.42</v>
      </c>
      <c r="C22" s="12" t="s">
        <v>35</v>
      </c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A64A-93D1-4433-952D-DF63D4497D12}">
  <sheetPr codeName="Sheet41"/>
  <dimension ref="A1:G24"/>
  <sheetViews>
    <sheetView workbookViewId="0">
      <selection activeCell="A23" sqref="A23"/>
    </sheetView>
  </sheetViews>
  <sheetFormatPr defaultRowHeight="14.4" x14ac:dyDescent="0.3"/>
  <cols>
    <col min="1" max="1" width="62.109375" customWidth="1"/>
    <col min="5" max="5" width="12.88671875" customWidth="1"/>
  </cols>
  <sheetData>
    <row r="1" spans="1:7" x14ac:dyDescent="0.3">
      <c r="A1" s="8" t="s">
        <v>499</v>
      </c>
    </row>
    <row r="2" spans="1:7" x14ac:dyDescent="0.3">
      <c r="A2" t="s">
        <v>500</v>
      </c>
      <c r="B2" t="s">
        <v>2</v>
      </c>
      <c r="C2" t="s">
        <v>3</v>
      </c>
      <c r="F2" t="s">
        <v>501</v>
      </c>
    </row>
    <row r="3" spans="1:7" x14ac:dyDescent="0.3">
      <c r="A3" t="s">
        <v>502</v>
      </c>
      <c r="B3">
        <v>6.3471000000000003E-4</v>
      </c>
      <c r="C3" t="s">
        <v>202</v>
      </c>
      <c r="E3" t="s">
        <v>503</v>
      </c>
      <c r="F3">
        <v>0.312</v>
      </c>
      <c r="G3" t="s">
        <v>12</v>
      </c>
    </row>
    <row r="4" spans="1:7" x14ac:dyDescent="0.3">
      <c r="A4" t="s">
        <v>504</v>
      </c>
      <c r="B4">
        <v>3.1735999999999998E-4</v>
      </c>
      <c r="C4" t="s">
        <v>202</v>
      </c>
      <c r="E4" t="s">
        <v>505</v>
      </c>
      <c r="F4">
        <v>7.6100000000000001E-2</v>
      </c>
      <c r="G4" t="s">
        <v>12</v>
      </c>
    </row>
    <row r="5" spans="1:7" x14ac:dyDescent="0.3">
      <c r="A5" t="s">
        <v>506</v>
      </c>
      <c r="B5">
        <v>6.3471000000000003E-4</v>
      </c>
      <c r="C5" t="s">
        <v>202</v>
      </c>
      <c r="E5" t="s">
        <v>209</v>
      </c>
      <c r="F5">
        <v>0.495</v>
      </c>
      <c r="G5" t="s">
        <v>12</v>
      </c>
    </row>
    <row r="6" spans="1:7" x14ac:dyDescent="0.3">
      <c r="A6" t="s">
        <v>507</v>
      </c>
      <c r="B6">
        <v>3.1735999999999998E-4</v>
      </c>
      <c r="C6" t="s">
        <v>202</v>
      </c>
      <c r="E6" t="s">
        <v>507</v>
      </c>
      <c r="F6">
        <v>0.82</v>
      </c>
      <c r="G6" t="s">
        <v>12</v>
      </c>
    </row>
    <row r="7" spans="1:7" x14ac:dyDescent="0.3">
      <c r="A7" t="s">
        <v>208</v>
      </c>
      <c r="B7">
        <v>3.1735999999999998E-4</v>
      </c>
      <c r="C7" t="s">
        <v>202</v>
      </c>
      <c r="E7" t="s">
        <v>508</v>
      </c>
      <c r="F7">
        <v>7.0800000000000002E-2</v>
      </c>
      <c r="G7" t="s">
        <v>12</v>
      </c>
    </row>
    <row r="8" spans="1:7" x14ac:dyDescent="0.3">
      <c r="A8" t="s">
        <v>509</v>
      </c>
      <c r="B8">
        <v>3.1735999999999998E-4</v>
      </c>
      <c r="C8" t="s">
        <v>202</v>
      </c>
      <c r="E8" t="s">
        <v>509</v>
      </c>
      <c r="F8">
        <v>0.14599999999999999</v>
      </c>
      <c r="G8" t="s">
        <v>12</v>
      </c>
    </row>
    <row r="9" spans="1:7" x14ac:dyDescent="0.3">
      <c r="A9" t="s">
        <v>510</v>
      </c>
      <c r="B9">
        <v>1.1325E-2</v>
      </c>
      <c r="C9" t="s">
        <v>16</v>
      </c>
      <c r="E9" t="s">
        <v>511</v>
      </c>
      <c r="F9">
        <f>SUM(F3:F8)</f>
        <v>1.9198999999999999</v>
      </c>
      <c r="G9" t="s">
        <v>12</v>
      </c>
    </row>
    <row r="10" spans="1:7" x14ac:dyDescent="0.3">
      <c r="A10" t="s">
        <v>512</v>
      </c>
      <c r="B10">
        <v>1.1900999999999999E-3</v>
      </c>
      <c r="C10" t="s">
        <v>5</v>
      </c>
    </row>
    <row r="11" spans="1:7" x14ac:dyDescent="0.3">
      <c r="A11" t="s">
        <v>513</v>
      </c>
      <c r="B11">
        <v>0.13253000000000001</v>
      </c>
      <c r="C11" t="s">
        <v>5</v>
      </c>
    </row>
    <row r="12" spans="1:7" x14ac:dyDescent="0.3">
      <c r="A12" t="s">
        <v>514</v>
      </c>
      <c r="B12">
        <v>6.4422999999999998E-3</v>
      </c>
      <c r="C12" t="s">
        <v>5</v>
      </c>
    </row>
    <row r="13" spans="1:7" x14ac:dyDescent="0.3">
      <c r="A13" t="s">
        <v>515</v>
      </c>
      <c r="B13">
        <v>2.2625000000000002E-3</v>
      </c>
      <c r="C13" t="s">
        <v>5</v>
      </c>
    </row>
    <row r="14" spans="1:7" x14ac:dyDescent="0.3">
      <c r="A14" t="s">
        <v>216</v>
      </c>
      <c r="B14">
        <v>1.2994E-3</v>
      </c>
      <c r="C14" t="s">
        <v>5</v>
      </c>
    </row>
    <row r="15" spans="1:7" x14ac:dyDescent="0.3">
      <c r="A15" t="s">
        <v>516</v>
      </c>
      <c r="B15">
        <v>3.2311000000000002E-3</v>
      </c>
      <c r="C15" t="s">
        <v>5</v>
      </c>
    </row>
    <row r="16" spans="1:7" x14ac:dyDescent="0.3">
      <c r="A16" t="s">
        <v>517</v>
      </c>
      <c r="B16">
        <v>4.8749999999999998E-4</v>
      </c>
      <c r="C16" t="s">
        <v>5</v>
      </c>
    </row>
    <row r="17" spans="1:3" x14ac:dyDescent="0.3">
      <c r="A17" t="s">
        <v>518</v>
      </c>
      <c r="B17">
        <v>4.6134000000000001E-3</v>
      </c>
      <c r="C17" t="s">
        <v>5</v>
      </c>
    </row>
    <row r="18" spans="1:3" x14ac:dyDescent="0.3">
      <c r="A18" t="s">
        <v>519</v>
      </c>
      <c r="B18">
        <v>1.8597000000000001E-4</v>
      </c>
      <c r="C18" t="s">
        <v>5</v>
      </c>
    </row>
    <row r="19" spans="1:3" x14ac:dyDescent="0.3">
      <c r="A19" t="s">
        <v>217</v>
      </c>
      <c r="B19">
        <v>3.1419E-3</v>
      </c>
      <c r="C19" t="s">
        <v>5</v>
      </c>
    </row>
    <row r="20" spans="1:3" x14ac:dyDescent="0.3">
      <c r="A20" t="s">
        <v>520</v>
      </c>
      <c r="B20">
        <v>2.7000000000000001E-3</v>
      </c>
      <c r="C20" t="s">
        <v>5</v>
      </c>
    </row>
    <row r="21" spans="1:3" x14ac:dyDescent="0.3">
      <c r="A21" t="s">
        <v>521</v>
      </c>
      <c r="B21">
        <v>5.8328999999999998E-4</v>
      </c>
      <c r="C21" t="s">
        <v>5</v>
      </c>
    </row>
    <row r="22" spans="1:3" x14ac:dyDescent="0.3">
      <c r="A22" t="s">
        <v>522</v>
      </c>
      <c r="B22">
        <v>7.9395000000000004E-3</v>
      </c>
      <c r="C22" t="s">
        <v>5</v>
      </c>
    </row>
    <row r="23" spans="1:3" x14ac:dyDescent="0.3">
      <c r="A23" t="s">
        <v>523</v>
      </c>
      <c r="B23">
        <v>5.2077000000000004E-4</v>
      </c>
      <c r="C23" t="s">
        <v>5</v>
      </c>
    </row>
    <row r="24" spans="1:3" x14ac:dyDescent="0.3">
      <c r="A24" t="s">
        <v>524</v>
      </c>
      <c r="B24">
        <f>0.048548+0.021093</f>
        <v>6.9641000000000008E-2</v>
      </c>
      <c r="C24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D3EE-503B-472A-A0E7-08A4E52A6617}">
  <sheetPr codeName="Sheet28"/>
  <dimension ref="A1:C72"/>
  <sheetViews>
    <sheetView workbookViewId="0">
      <selection activeCell="A17" sqref="A17"/>
    </sheetView>
  </sheetViews>
  <sheetFormatPr defaultRowHeight="14.4" x14ac:dyDescent="0.3"/>
  <sheetData>
    <row r="1" spans="1:3" x14ac:dyDescent="0.3">
      <c r="A1" t="s">
        <v>487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1019.53</v>
      </c>
      <c r="C5" t="s">
        <v>5</v>
      </c>
    </row>
    <row r="6" spans="1:3" x14ac:dyDescent="0.3">
      <c r="A6" t="s">
        <v>18</v>
      </c>
      <c r="B6">
        <v>1020.83</v>
      </c>
      <c r="C6" t="s">
        <v>5</v>
      </c>
    </row>
    <row r="7" spans="1:3" x14ac:dyDescent="0.3">
      <c r="A7" t="s">
        <v>31</v>
      </c>
      <c r="B7">
        <v>-1.3</v>
      </c>
      <c r="C7" t="s">
        <v>5</v>
      </c>
    </row>
    <row r="8" spans="1:3" x14ac:dyDescent="0.3">
      <c r="A8" t="s">
        <v>32</v>
      </c>
      <c r="B8">
        <v>0.13</v>
      </c>
      <c r="C8" t="s">
        <v>5</v>
      </c>
    </row>
    <row r="9" spans="1:3" x14ac:dyDescent="0.3">
      <c r="A9" t="s">
        <v>34</v>
      </c>
      <c r="B9">
        <v>0.39</v>
      </c>
      <c r="C9" t="s">
        <v>5</v>
      </c>
    </row>
    <row r="10" spans="1:3" x14ac:dyDescent="0.3">
      <c r="A10" t="s">
        <v>21</v>
      </c>
      <c r="B10">
        <v>0.64</v>
      </c>
      <c r="C10" t="s">
        <v>5</v>
      </c>
    </row>
    <row r="11" spans="1:3" x14ac:dyDescent="0.3">
      <c r="A11" t="s">
        <v>36</v>
      </c>
      <c r="B11">
        <v>65.22</v>
      </c>
      <c r="C11" t="s">
        <v>35</v>
      </c>
    </row>
    <row r="12" spans="1:3" x14ac:dyDescent="0.3">
      <c r="A12" t="s">
        <v>37</v>
      </c>
      <c r="B12">
        <v>42.14</v>
      </c>
      <c r="C12" t="s">
        <v>35</v>
      </c>
    </row>
    <row r="13" spans="1:3" x14ac:dyDescent="0.3">
      <c r="A13" t="s">
        <v>22</v>
      </c>
      <c r="B13">
        <v>0.76</v>
      </c>
      <c r="C13" t="s">
        <v>5</v>
      </c>
    </row>
    <row r="14" spans="1:3" x14ac:dyDescent="0.3">
      <c r="A14" t="s">
        <v>19</v>
      </c>
      <c r="B14">
        <v>2.56</v>
      </c>
      <c r="C14" t="s">
        <v>5</v>
      </c>
    </row>
    <row r="15" spans="1:3" x14ac:dyDescent="0.3">
      <c r="A15" t="s">
        <v>20</v>
      </c>
      <c r="B15">
        <v>12.47</v>
      </c>
      <c r="C15" t="s">
        <v>35</v>
      </c>
    </row>
    <row r="16" spans="1:3" x14ac:dyDescent="0.3">
      <c r="A16" t="s">
        <v>23</v>
      </c>
      <c r="B16">
        <v>4.8899999999999997</v>
      </c>
      <c r="C16" t="s">
        <v>35</v>
      </c>
    </row>
    <row r="17" spans="1:3" x14ac:dyDescent="0.3">
      <c r="A17" t="s">
        <v>38</v>
      </c>
      <c r="B17">
        <v>9.8800000000000008</v>
      </c>
      <c r="C17" t="s">
        <v>35</v>
      </c>
    </row>
    <row r="18" spans="1:3" x14ac:dyDescent="0.3">
      <c r="A18" t="s">
        <v>39</v>
      </c>
    </row>
    <row r="19" spans="1:3" x14ac:dyDescent="0.3">
      <c r="A19" t="s">
        <v>41</v>
      </c>
      <c r="B19">
        <v>1100.52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17427</v>
      </c>
      <c r="C24" t="s">
        <v>12</v>
      </c>
    </row>
    <row r="25" spans="1:3" x14ac:dyDescent="0.3">
      <c r="A25" t="s">
        <v>47</v>
      </c>
      <c r="B25">
        <v>2.12</v>
      </c>
      <c r="C25" t="s">
        <v>488</v>
      </c>
    </row>
    <row r="26" spans="1:3" x14ac:dyDescent="0.3">
      <c r="A26" t="s">
        <v>49</v>
      </c>
      <c r="B26">
        <v>0.77</v>
      </c>
      <c r="C26" t="s">
        <v>488</v>
      </c>
    </row>
    <row r="27" spans="1:3" x14ac:dyDescent="0.3">
      <c r="A27" t="s">
        <v>52</v>
      </c>
      <c r="B27">
        <v>0.64</v>
      </c>
      <c r="C27" t="s">
        <v>488</v>
      </c>
    </row>
    <row r="28" spans="1:3" x14ac:dyDescent="0.3">
      <c r="A28" t="s">
        <v>50</v>
      </c>
      <c r="B28">
        <v>0.61</v>
      </c>
      <c r="C28" t="s">
        <v>488</v>
      </c>
    </row>
    <row r="29" spans="1:3" x14ac:dyDescent="0.3">
      <c r="A29" t="s">
        <v>51</v>
      </c>
      <c r="B29">
        <v>99610.89</v>
      </c>
      <c r="C29" t="s">
        <v>48</v>
      </c>
    </row>
    <row r="30" spans="1:3" x14ac:dyDescent="0.3">
      <c r="A30" t="s">
        <v>53</v>
      </c>
      <c r="B30">
        <v>243</v>
      </c>
      <c r="C30" t="s">
        <v>12</v>
      </c>
    </row>
    <row r="31" spans="1:3" x14ac:dyDescent="0.3">
      <c r="A31" t="s">
        <v>54</v>
      </c>
      <c r="B31">
        <v>14337</v>
      </c>
      <c r="C31" t="s">
        <v>12</v>
      </c>
    </row>
    <row r="32" spans="1:3" x14ac:dyDescent="0.3">
      <c r="A32" t="s">
        <v>55</v>
      </c>
      <c r="B32">
        <v>1942</v>
      </c>
      <c r="C32" t="s">
        <v>12</v>
      </c>
    </row>
    <row r="33" spans="1:3" x14ac:dyDescent="0.3">
      <c r="A33" t="s">
        <v>56</v>
      </c>
      <c r="B33">
        <v>14</v>
      </c>
      <c r="C33" t="s">
        <v>12</v>
      </c>
    </row>
    <row r="34" spans="1:3" x14ac:dyDescent="0.3">
      <c r="A34" t="s">
        <v>57</v>
      </c>
      <c r="B34">
        <v>462.23</v>
      </c>
      <c r="C34" t="s">
        <v>46</v>
      </c>
    </row>
    <row r="35" spans="1:3" x14ac:dyDescent="0.3">
      <c r="A35" t="s">
        <v>59</v>
      </c>
      <c r="B35">
        <v>11</v>
      </c>
      <c r="C35" t="s">
        <v>12</v>
      </c>
    </row>
    <row r="36" spans="1:3" x14ac:dyDescent="0.3">
      <c r="A36" t="s">
        <v>60</v>
      </c>
      <c r="B36">
        <v>4.18</v>
      </c>
      <c r="C36" t="s">
        <v>35</v>
      </c>
    </row>
    <row r="37" spans="1:3" x14ac:dyDescent="0.3">
      <c r="A37" t="s">
        <v>61</v>
      </c>
      <c r="B37">
        <v>166</v>
      </c>
      <c r="C37" t="s">
        <v>12</v>
      </c>
    </row>
    <row r="38" spans="1:3" x14ac:dyDescent="0.3">
      <c r="A38" t="s">
        <v>62</v>
      </c>
      <c r="B38">
        <v>441</v>
      </c>
      <c r="C38" t="s">
        <v>12</v>
      </c>
    </row>
    <row r="39" spans="1:3" x14ac:dyDescent="0.3">
      <c r="A39" t="s">
        <v>63</v>
      </c>
      <c r="B39">
        <v>9510</v>
      </c>
      <c r="C39" t="s">
        <v>46</v>
      </c>
    </row>
    <row r="40" spans="1:3" x14ac:dyDescent="0.3">
      <c r="A40" t="s">
        <v>64</v>
      </c>
      <c r="B40">
        <v>26</v>
      </c>
      <c r="C40" t="s">
        <v>12</v>
      </c>
    </row>
    <row r="41" spans="1:3" x14ac:dyDescent="0.3">
      <c r="A41" t="s">
        <v>65</v>
      </c>
      <c r="B41">
        <v>137</v>
      </c>
      <c r="C41" t="s">
        <v>12</v>
      </c>
    </row>
    <row r="42" spans="1:3" x14ac:dyDescent="0.3">
      <c r="A42" t="s">
        <v>66</v>
      </c>
      <c r="B42">
        <v>39</v>
      </c>
      <c r="C42" t="s">
        <v>12</v>
      </c>
    </row>
    <row r="43" spans="1:3" x14ac:dyDescent="0.3">
      <c r="A43" t="s">
        <v>67</v>
      </c>
      <c r="B43">
        <v>27</v>
      </c>
      <c r="C43" t="s">
        <v>12</v>
      </c>
    </row>
    <row r="44" spans="1:3" x14ac:dyDescent="0.3">
      <c r="A44" t="s">
        <v>68</v>
      </c>
      <c r="B44">
        <v>33</v>
      </c>
      <c r="C44" t="s">
        <v>12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16622</v>
      </c>
      <c r="C46" t="s">
        <v>12</v>
      </c>
    </row>
    <row r="47" spans="1:3" x14ac:dyDescent="0.3">
      <c r="A47" t="s">
        <v>72</v>
      </c>
      <c r="B47">
        <v>14337</v>
      </c>
      <c r="C47" t="s">
        <v>12</v>
      </c>
    </row>
    <row r="48" spans="1:3" x14ac:dyDescent="0.3">
      <c r="A48" t="s">
        <v>71</v>
      </c>
      <c r="B48">
        <v>1942</v>
      </c>
      <c r="C48" t="s">
        <v>12</v>
      </c>
    </row>
    <row r="49" spans="1:3" x14ac:dyDescent="0.3">
      <c r="A49" t="s">
        <v>73</v>
      </c>
      <c r="B49">
        <v>804</v>
      </c>
      <c r="C49" t="s">
        <v>12</v>
      </c>
    </row>
    <row r="50" spans="1:3" x14ac:dyDescent="0.3">
      <c r="A50" t="s">
        <v>74</v>
      </c>
      <c r="B50">
        <v>441</v>
      </c>
      <c r="C50" t="s">
        <v>12</v>
      </c>
    </row>
    <row r="51" spans="1:3" x14ac:dyDescent="0.3">
      <c r="A51" t="s">
        <v>75</v>
      </c>
      <c r="B51">
        <v>363</v>
      </c>
      <c r="C51" t="s">
        <v>12</v>
      </c>
    </row>
    <row r="52" spans="1:3" x14ac:dyDescent="0.3">
      <c r="A52" t="s">
        <v>76</v>
      </c>
      <c r="B52">
        <v>343</v>
      </c>
      <c r="C52" t="s">
        <v>12</v>
      </c>
    </row>
    <row r="53" spans="1:3" x14ac:dyDescent="0.3">
      <c r="A53" t="s">
        <v>77</v>
      </c>
      <c r="B53">
        <v>14</v>
      </c>
      <c r="C53" t="s">
        <v>12</v>
      </c>
    </row>
    <row r="54" spans="1:3" x14ac:dyDescent="0.3">
      <c r="A54" t="s">
        <v>79</v>
      </c>
      <c r="B54">
        <v>2.12</v>
      </c>
      <c r="C54" t="s">
        <v>488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232.99</v>
      </c>
      <c r="C58" t="s">
        <v>5</v>
      </c>
    </row>
    <row r="59" spans="1:3" x14ac:dyDescent="0.3">
      <c r="A59" t="s">
        <v>18</v>
      </c>
      <c r="B59">
        <v>233.01</v>
      </c>
      <c r="C59" t="s">
        <v>5</v>
      </c>
    </row>
    <row r="60" spans="1:3" x14ac:dyDescent="0.3">
      <c r="A60" t="s">
        <v>31</v>
      </c>
      <c r="B60">
        <v>-0.02</v>
      </c>
      <c r="C60" t="s">
        <v>5</v>
      </c>
    </row>
    <row r="61" spans="1:3" x14ac:dyDescent="0.3">
      <c r="A61" t="s">
        <v>32</v>
      </c>
      <c r="B61">
        <v>7.4</v>
      </c>
      <c r="C61" t="s">
        <v>35</v>
      </c>
    </row>
    <row r="62" spans="1:3" x14ac:dyDescent="0.3">
      <c r="A62" t="s">
        <v>34</v>
      </c>
      <c r="B62">
        <v>38.33</v>
      </c>
      <c r="C62" t="s">
        <v>35</v>
      </c>
    </row>
    <row r="63" spans="1:3" x14ac:dyDescent="0.3">
      <c r="A63" t="s">
        <v>21</v>
      </c>
      <c r="B63">
        <v>74.349999999999994</v>
      </c>
      <c r="C63" t="s">
        <v>35</v>
      </c>
    </row>
    <row r="64" spans="1:3" x14ac:dyDescent="0.3">
      <c r="A64" t="s">
        <v>36</v>
      </c>
      <c r="B64">
        <v>8.51</v>
      </c>
      <c r="C64" t="s">
        <v>35</v>
      </c>
    </row>
    <row r="65" spans="1:3" x14ac:dyDescent="0.3">
      <c r="A65" t="s">
        <v>37</v>
      </c>
      <c r="B65">
        <v>7.07</v>
      </c>
      <c r="C65" t="s">
        <v>35</v>
      </c>
    </row>
    <row r="66" spans="1:3" x14ac:dyDescent="0.3">
      <c r="A66" t="s">
        <v>22</v>
      </c>
      <c r="B66">
        <v>0.18</v>
      </c>
      <c r="C66" t="s">
        <v>5</v>
      </c>
    </row>
    <row r="67" spans="1:3" x14ac:dyDescent="0.3">
      <c r="A67" t="s">
        <v>19</v>
      </c>
      <c r="B67">
        <v>44.23</v>
      </c>
      <c r="C67" t="s">
        <v>35</v>
      </c>
    </row>
    <row r="68" spans="1:3" x14ac:dyDescent="0.3">
      <c r="A68" t="s">
        <v>20</v>
      </c>
      <c r="B68">
        <v>2.27</v>
      </c>
      <c r="C68" t="s">
        <v>35</v>
      </c>
    </row>
    <row r="69" spans="1:3" x14ac:dyDescent="0.3">
      <c r="A69" t="s">
        <v>23</v>
      </c>
      <c r="B69">
        <v>0.48</v>
      </c>
      <c r="C69" t="s">
        <v>35</v>
      </c>
    </row>
    <row r="70" spans="1:3" x14ac:dyDescent="0.3">
      <c r="A70" t="s">
        <v>38</v>
      </c>
      <c r="B70">
        <v>1.22</v>
      </c>
      <c r="C70" t="s">
        <v>35</v>
      </c>
    </row>
    <row r="71" spans="1:3" x14ac:dyDescent="0.3">
      <c r="A71" t="s">
        <v>39</v>
      </c>
    </row>
    <row r="72" spans="1:3" x14ac:dyDescent="0.3">
      <c r="A72" t="s">
        <v>41</v>
      </c>
      <c r="B72">
        <v>235</v>
      </c>
      <c r="C72" t="s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2C59-E822-4A60-9DCD-8DF4EAE50A11}">
  <sheetPr codeName="Sheet27"/>
  <dimension ref="A1:F71"/>
  <sheetViews>
    <sheetView workbookViewId="0">
      <selection activeCell="A17" sqref="A17"/>
    </sheetView>
  </sheetViews>
  <sheetFormatPr defaultRowHeight="14.4" x14ac:dyDescent="0.3"/>
  <cols>
    <col min="1" max="1" width="14.77734375" customWidth="1"/>
  </cols>
  <sheetData>
    <row r="1" spans="1:6" x14ac:dyDescent="0.3">
      <c r="A1" t="s">
        <v>486</v>
      </c>
    </row>
    <row r="2" spans="1:6" x14ac:dyDescent="0.3">
      <c r="A2" t="s">
        <v>28</v>
      </c>
    </row>
    <row r="3" spans="1:6" x14ac:dyDescent="0.3">
      <c r="A3" t="s">
        <v>29</v>
      </c>
    </row>
    <row r="4" spans="1:6" x14ac:dyDescent="0.3">
      <c r="A4" t="s">
        <v>28</v>
      </c>
    </row>
    <row r="5" spans="1:6" x14ac:dyDescent="0.3">
      <c r="A5" t="s">
        <v>30</v>
      </c>
      <c r="B5">
        <v>1.89</v>
      </c>
      <c r="C5" t="s">
        <v>5</v>
      </c>
      <c r="E5">
        <f>B5/$B$46</f>
        <v>6.9999999999999993E-2</v>
      </c>
      <c r="F5" t="s">
        <v>5</v>
      </c>
    </row>
    <row r="6" spans="1:6" x14ac:dyDescent="0.3">
      <c r="A6" t="s">
        <v>18</v>
      </c>
      <c r="B6">
        <v>1.9</v>
      </c>
      <c r="C6" t="s">
        <v>5</v>
      </c>
      <c r="E6">
        <f t="shared" ref="E6:E17" si="0">B6/$B$46</f>
        <v>7.0370370370370361E-2</v>
      </c>
      <c r="F6" t="s">
        <v>5</v>
      </c>
    </row>
    <row r="7" spans="1:6" x14ac:dyDescent="0.3">
      <c r="A7" t="s">
        <v>31</v>
      </c>
      <c r="B7">
        <v>-0.01</v>
      </c>
      <c r="C7" t="s">
        <v>5</v>
      </c>
      <c r="E7">
        <f t="shared" si="0"/>
        <v>-3.7037037037037035E-4</v>
      </c>
      <c r="F7" t="s">
        <v>5</v>
      </c>
    </row>
    <row r="8" spans="1:6" x14ac:dyDescent="0.3">
      <c r="A8" t="s">
        <v>32</v>
      </c>
      <c r="B8">
        <v>0.26</v>
      </c>
      <c r="C8" t="s">
        <v>35</v>
      </c>
      <c r="E8">
        <f t="shared" si="0"/>
        <v>9.6296296296296303E-3</v>
      </c>
      <c r="F8" t="s">
        <v>35</v>
      </c>
    </row>
    <row r="9" spans="1:6" x14ac:dyDescent="0.3">
      <c r="A9" t="s">
        <v>34</v>
      </c>
      <c r="B9">
        <v>0.96</v>
      </c>
      <c r="C9" t="s">
        <v>35</v>
      </c>
      <c r="E9">
        <f t="shared" si="0"/>
        <v>3.5555555555555556E-2</v>
      </c>
      <c r="F9" t="s">
        <v>35</v>
      </c>
    </row>
    <row r="10" spans="1:6" x14ac:dyDescent="0.3">
      <c r="A10" t="s">
        <v>21</v>
      </c>
      <c r="B10">
        <v>2.36</v>
      </c>
      <c r="C10" t="s">
        <v>35</v>
      </c>
      <c r="E10">
        <f t="shared" si="0"/>
        <v>8.7407407407407406E-2</v>
      </c>
      <c r="F10" t="s">
        <v>35</v>
      </c>
    </row>
    <row r="11" spans="1:6" x14ac:dyDescent="0.3">
      <c r="A11" t="s">
        <v>36</v>
      </c>
      <c r="B11">
        <v>0.42</v>
      </c>
      <c r="C11" t="s">
        <v>35</v>
      </c>
      <c r="E11">
        <f t="shared" si="0"/>
        <v>1.5555555555555555E-2</v>
      </c>
      <c r="F11" t="s">
        <v>35</v>
      </c>
    </row>
    <row r="12" spans="1:6" x14ac:dyDescent="0.3">
      <c r="A12" t="s">
        <v>37</v>
      </c>
      <c r="B12">
        <v>0.25</v>
      </c>
      <c r="C12" t="s">
        <v>35</v>
      </c>
      <c r="E12">
        <f t="shared" si="0"/>
        <v>9.2592592592592587E-3</v>
      </c>
      <c r="F12" t="s">
        <v>35</v>
      </c>
    </row>
    <row r="13" spans="1:6" x14ac:dyDescent="0.3">
      <c r="A13" t="s">
        <v>22</v>
      </c>
      <c r="B13">
        <v>3.62</v>
      </c>
      <c r="C13" t="s">
        <v>35</v>
      </c>
      <c r="E13">
        <f t="shared" si="0"/>
        <v>0.13407407407407407</v>
      </c>
      <c r="F13" t="s">
        <v>35</v>
      </c>
    </row>
    <row r="14" spans="1:6" x14ac:dyDescent="0.3">
      <c r="A14" t="s">
        <v>19</v>
      </c>
      <c r="B14">
        <v>4.1100000000000003</v>
      </c>
      <c r="C14" t="s">
        <v>35</v>
      </c>
      <c r="E14">
        <f t="shared" si="0"/>
        <v>0.15222222222222223</v>
      </c>
      <c r="F14" t="s">
        <v>35</v>
      </c>
    </row>
    <row r="15" spans="1:6" x14ac:dyDescent="0.3">
      <c r="A15" t="s">
        <v>20</v>
      </c>
      <c r="B15">
        <v>38.76</v>
      </c>
      <c r="C15" t="s">
        <v>33</v>
      </c>
      <c r="E15">
        <f t="shared" si="0"/>
        <v>1.4355555555555555</v>
      </c>
      <c r="F15" t="s">
        <v>33</v>
      </c>
    </row>
    <row r="16" spans="1:6" x14ac:dyDescent="0.3">
      <c r="A16" t="s">
        <v>23</v>
      </c>
      <c r="B16">
        <v>18.43</v>
      </c>
      <c r="C16" t="s">
        <v>33</v>
      </c>
      <c r="E16">
        <f t="shared" si="0"/>
        <v>0.68259259259259253</v>
      </c>
      <c r="F16" t="s">
        <v>33</v>
      </c>
    </row>
    <row r="17" spans="1:6" x14ac:dyDescent="0.3">
      <c r="A17" t="s">
        <v>38</v>
      </c>
      <c r="B17">
        <v>39.36</v>
      </c>
      <c r="C17" t="s">
        <v>33</v>
      </c>
      <c r="E17">
        <f t="shared" si="0"/>
        <v>1.4577777777777778</v>
      </c>
      <c r="F17" t="s">
        <v>33</v>
      </c>
    </row>
    <row r="18" spans="1:6" x14ac:dyDescent="0.3">
      <c r="A18" t="s">
        <v>39</v>
      </c>
    </row>
    <row r="19" spans="1:6" x14ac:dyDescent="0.3">
      <c r="A19" t="s">
        <v>40</v>
      </c>
      <c r="B19">
        <v>2.02</v>
      </c>
      <c r="C19" t="s">
        <v>5</v>
      </c>
    </row>
    <row r="20" spans="1:6" x14ac:dyDescent="0.3">
      <c r="A20" t="s">
        <v>42</v>
      </c>
    </row>
    <row r="21" spans="1:6" x14ac:dyDescent="0.3">
      <c r="A21" t="s">
        <v>43</v>
      </c>
      <c r="B21">
        <v>0</v>
      </c>
      <c r="C21" t="s">
        <v>44</v>
      </c>
    </row>
    <row r="22" spans="1:6" x14ac:dyDescent="0.3">
      <c r="A22" t="s">
        <v>45</v>
      </c>
    </row>
    <row r="23" spans="1:6" x14ac:dyDescent="0.3">
      <c r="A23" t="s">
        <v>29</v>
      </c>
    </row>
    <row r="24" spans="1:6" x14ac:dyDescent="0.3">
      <c r="A24" t="s">
        <v>45</v>
      </c>
      <c r="B24">
        <v>29</v>
      </c>
      <c r="C24" t="s">
        <v>12</v>
      </c>
    </row>
    <row r="25" spans="1:6" x14ac:dyDescent="0.3">
      <c r="A25" t="s">
        <v>47</v>
      </c>
      <c r="B25">
        <v>9481.92</v>
      </c>
      <c r="C25" t="s">
        <v>48</v>
      </c>
    </row>
    <row r="26" spans="1:6" x14ac:dyDescent="0.3">
      <c r="A26" t="s">
        <v>49</v>
      </c>
      <c r="B26">
        <v>5679.3</v>
      </c>
      <c r="C26" t="s">
        <v>48</v>
      </c>
    </row>
    <row r="27" spans="1:6" x14ac:dyDescent="0.3">
      <c r="A27" t="s">
        <v>50</v>
      </c>
      <c r="B27">
        <v>3321.79</v>
      </c>
      <c r="C27" t="s">
        <v>48</v>
      </c>
    </row>
    <row r="28" spans="1:6" x14ac:dyDescent="0.3">
      <c r="A28" t="s">
        <v>51</v>
      </c>
      <c r="B28">
        <v>316.86</v>
      </c>
      <c r="C28" t="s">
        <v>48</v>
      </c>
    </row>
    <row r="29" spans="1:6" x14ac:dyDescent="0.3">
      <c r="A29" t="s">
        <v>52</v>
      </c>
      <c r="B29">
        <v>163.97</v>
      </c>
      <c r="C29" t="s">
        <v>48</v>
      </c>
    </row>
    <row r="30" spans="1:6" x14ac:dyDescent="0.3">
      <c r="A30" t="s">
        <v>53</v>
      </c>
      <c r="B30">
        <v>591.54999999999995</v>
      </c>
      <c r="C30" t="s">
        <v>46</v>
      </c>
    </row>
    <row r="31" spans="1:6" x14ac:dyDescent="0.3">
      <c r="A31" t="s">
        <v>54</v>
      </c>
      <c r="B31">
        <v>16</v>
      </c>
      <c r="C31" t="s">
        <v>12</v>
      </c>
    </row>
    <row r="32" spans="1:6" x14ac:dyDescent="0.3">
      <c r="A32" t="s">
        <v>55</v>
      </c>
      <c r="B32">
        <v>9580</v>
      </c>
      <c r="C32" t="s">
        <v>46</v>
      </c>
    </row>
    <row r="33" spans="1:3" x14ac:dyDescent="0.3">
      <c r="A33" t="s">
        <v>56</v>
      </c>
      <c r="B33">
        <v>106.75</v>
      </c>
      <c r="C33" t="s">
        <v>46</v>
      </c>
    </row>
    <row r="34" spans="1:3" x14ac:dyDescent="0.3">
      <c r="A34" t="s">
        <v>57</v>
      </c>
      <c r="B34">
        <v>1029.6099999999999</v>
      </c>
      <c r="C34" t="s">
        <v>58</v>
      </c>
    </row>
    <row r="35" spans="1:3" x14ac:dyDescent="0.3">
      <c r="A35" t="s">
        <v>59</v>
      </c>
      <c r="B35">
        <v>40.200000000000003</v>
      </c>
      <c r="C35" t="s">
        <v>46</v>
      </c>
    </row>
    <row r="36" spans="1:3" x14ac:dyDescent="0.3">
      <c r="A36" t="s">
        <v>60</v>
      </c>
      <c r="B36">
        <v>14.9</v>
      </c>
      <c r="C36" t="s">
        <v>33</v>
      </c>
    </row>
    <row r="37" spans="1:3" x14ac:dyDescent="0.3">
      <c r="A37" t="s">
        <v>61</v>
      </c>
      <c r="B37">
        <v>548.34</v>
      </c>
      <c r="C37" t="s">
        <v>46</v>
      </c>
    </row>
    <row r="38" spans="1:3" x14ac:dyDescent="0.3">
      <c r="A38" t="s">
        <v>62</v>
      </c>
      <c r="B38">
        <v>1573</v>
      </c>
      <c r="C38" t="s">
        <v>46</v>
      </c>
    </row>
    <row r="39" spans="1:3" x14ac:dyDescent="0.3">
      <c r="A39" t="s">
        <v>63</v>
      </c>
      <c r="B39">
        <v>34.299999999999997</v>
      </c>
      <c r="C39" t="s">
        <v>46</v>
      </c>
    </row>
    <row r="40" spans="1:3" x14ac:dyDescent="0.3">
      <c r="A40" t="s">
        <v>64</v>
      </c>
      <c r="B40">
        <v>45.85</v>
      </c>
      <c r="C40" t="s">
        <v>46</v>
      </c>
    </row>
    <row r="41" spans="1:3" x14ac:dyDescent="0.3">
      <c r="A41" t="s">
        <v>65</v>
      </c>
      <c r="B41">
        <v>390.67</v>
      </c>
      <c r="C41" t="s">
        <v>46</v>
      </c>
    </row>
    <row r="42" spans="1:3" x14ac:dyDescent="0.3">
      <c r="A42" t="s">
        <v>66</v>
      </c>
      <c r="B42">
        <v>89.27</v>
      </c>
      <c r="C42" t="s">
        <v>46</v>
      </c>
    </row>
    <row r="43" spans="1:3" x14ac:dyDescent="0.3">
      <c r="A43" t="s">
        <v>67</v>
      </c>
      <c r="B43">
        <v>61.53</v>
      </c>
      <c r="C43" t="s">
        <v>46</v>
      </c>
    </row>
    <row r="44" spans="1:3" x14ac:dyDescent="0.3">
      <c r="A44" t="s">
        <v>68</v>
      </c>
      <c r="B44">
        <v>74.040000000000006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27</v>
      </c>
      <c r="C46" t="s">
        <v>12</v>
      </c>
    </row>
    <row r="47" spans="1:3" x14ac:dyDescent="0.3">
      <c r="A47" t="s">
        <v>72</v>
      </c>
      <c r="B47">
        <v>16</v>
      </c>
      <c r="C47" t="s">
        <v>12</v>
      </c>
    </row>
    <row r="48" spans="1:3" x14ac:dyDescent="0.3">
      <c r="A48" t="s">
        <v>71</v>
      </c>
      <c r="B48">
        <v>9580</v>
      </c>
      <c r="C48" t="s">
        <v>46</v>
      </c>
    </row>
    <row r="49" spans="1:3" x14ac:dyDescent="0.3">
      <c r="A49" t="s">
        <v>73</v>
      </c>
      <c r="B49">
        <v>2739</v>
      </c>
      <c r="C49" t="s">
        <v>46</v>
      </c>
    </row>
    <row r="50" spans="1:3" x14ac:dyDescent="0.3">
      <c r="A50" t="s">
        <v>74</v>
      </c>
      <c r="B50">
        <v>1573</v>
      </c>
      <c r="C50" t="s">
        <v>46</v>
      </c>
    </row>
    <row r="51" spans="1:3" x14ac:dyDescent="0.3">
      <c r="A51" t="s">
        <v>75</v>
      </c>
      <c r="B51">
        <v>1166</v>
      </c>
      <c r="C51" t="s">
        <v>46</v>
      </c>
    </row>
    <row r="52" spans="1:3" x14ac:dyDescent="0.3">
      <c r="A52" t="s">
        <v>76</v>
      </c>
      <c r="B52">
        <v>817.41</v>
      </c>
      <c r="C52" t="s">
        <v>46</v>
      </c>
    </row>
    <row r="53" spans="1:3" x14ac:dyDescent="0.3">
      <c r="A53" t="s">
        <v>77</v>
      </c>
      <c r="B53">
        <v>106.75</v>
      </c>
      <c r="C53" t="s">
        <v>46</v>
      </c>
    </row>
    <row r="54" spans="1:3" x14ac:dyDescent="0.3">
      <c r="A54" t="s">
        <v>78</v>
      </c>
    </row>
    <row r="55" spans="1:3" x14ac:dyDescent="0.3">
      <c r="A55" t="s">
        <v>29</v>
      </c>
    </row>
    <row r="56" spans="1:3" x14ac:dyDescent="0.3">
      <c r="A56" t="s">
        <v>28</v>
      </c>
    </row>
    <row r="57" spans="1:3" x14ac:dyDescent="0.3">
      <c r="A57" t="s">
        <v>30</v>
      </c>
      <c r="B57">
        <v>0.4</v>
      </c>
      <c r="C57" t="s">
        <v>5</v>
      </c>
    </row>
    <row r="58" spans="1:3" x14ac:dyDescent="0.3">
      <c r="A58" t="s">
        <v>18</v>
      </c>
      <c r="B58">
        <v>0.4</v>
      </c>
      <c r="C58" t="s">
        <v>5</v>
      </c>
    </row>
    <row r="59" spans="1:3" x14ac:dyDescent="0.3">
      <c r="A59" t="s">
        <v>31</v>
      </c>
      <c r="B59">
        <v>0</v>
      </c>
      <c r="C59" t="s">
        <v>5</v>
      </c>
    </row>
    <row r="60" spans="1:3" x14ac:dyDescent="0.3">
      <c r="A60" t="s">
        <v>32</v>
      </c>
      <c r="B60">
        <v>16.73</v>
      </c>
      <c r="C60" t="s">
        <v>33</v>
      </c>
    </row>
    <row r="61" spans="1:3" x14ac:dyDescent="0.3">
      <c r="A61" t="s">
        <v>34</v>
      </c>
      <c r="B61">
        <v>0.12</v>
      </c>
      <c r="C61" t="s">
        <v>35</v>
      </c>
    </row>
    <row r="62" spans="1:3" x14ac:dyDescent="0.3">
      <c r="A62" t="s">
        <v>21</v>
      </c>
      <c r="B62">
        <v>0.46</v>
      </c>
      <c r="C62" t="s">
        <v>35</v>
      </c>
    </row>
    <row r="63" spans="1:3" x14ac:dyDescent="0.3">
      <c r="A63" t="s">
        <v>36</v>
      </c>
      <c r="B63">
        <v>0.1</v>
      </c>
      <c r="C63" t="s">
        <v>35</v>
      </c>
    </row>
    <row r="64" spans="1:3" x14ac:dyDescent="0.3">
      <c r="A64" t="s">
        <v>37</v>
      </c>
      <c r="B64">
        <v>69.98</v>
      </c>
      <c r="C64" t="s">
        <v>33</v>
      </c>
    </row>
    <row r="65" spans="1:3" x14ac:dyDescent="0.3">
      <c r="A65" t="s">
        <v>22</v>
      </c>
      <c r="B65">
        <v>1.05</v>
      </c>
      <c r="C65" t="s">
        <v>35</v>
      </c>
    </row>
    <row r="66" spans="1:3" x14ac:dyDescent="0.3">
      <c r="A66" t="s">
        <v>19</v>
      </c>
      <c r="B66">
        <v>0.17</v>
      </c>
      <c r="C66" t="s">
        <v>35</v>
      </c>
    </row>
    <row r="67" spans="1:3" x14ac:dyDescent="0.3">
      <c r="A67" t="s">
        <v>20</v>
      </c>
      <c r="B67">
        <v>7.74</v>
      </c>
      <c r="C67" t="s">
        <v>33</v>
      </c>
    </row>
    <row r="68" spans="1:3" x14ac:dyDescent="0.3">
      <c r="A68" t="s">
        <v>23</v>
      </c>
      <c r="B68">
        <v>3.33</v>
      </c>
      <c r="C68" t="s">
        <v>33</v>
      </c>
    </row>
    <row r="69" spans="1:3" x14ac:dyDescent="0.3">
      <c r="A69" t="s">
        <v>38</v>
      </c>
      <c r="B69">
        <v>6.92</v>
      </c>
      <c r="C69" t="s">
        <v>33</v>
      </c>
    </row>
    <row r="70" spans="1:3" x14ac:dyDescent="0.3">
      <c r="A70" t="s">
        <v>39</v>
      </c>
    </row>
    <row r="71" spans="1:3" x14ac:dyDescent="0.3">
      <c r="A71" t="s">
        <v>40</v>
      </c>
      <c r="B71">
        <v>0.41</v>
      </c>
      <c r="C71" t="s">
        <v>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DCA6-9E68-410A-BA18-5BEEDA736374}">
  <sheetPr codeName="Sheet26"/>
  <dimension ref="A1:C73"/>
  <sheetViews>
    <sheetView workbookViewId="0">
      <selection activeCell="A17" sqref="A17"/>
    </sheetView>
  </sheetViews>
  <sheetFormatPr defaultRowHeight="14.4" x14ac:dyDescent="0.3"/>
  <cols>
    <col min="1" max="1" width="19" customWidth="1"/>
  </cols>
  <sheetData>
    <row r="1" spans="1:3" x14ac:dyDescent="0.3">
      <c r="A1" t="s">
        <v>484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48.94</v>
      </c>
      <c r="C5" t="s">
        <v>35</v>
      </c>
    </row>
    <row r="6" spans="1:3" x14ac:dyDescent="0.3">
      <c r="A6" t="s">
        <v>18</v>
      </c>
      <c r="B6">
        <v>48.95</v>
      </c>
      <c r="C6" t="s">
        <v>35</v>
      </c>
    </row>
    <row r="7" spans="1:3" x14ac:dyDescent="0.3">
      <c r="A7" t="s">
        <v>31</v>
      </c>
      <c r="B7" s="2">
        <v>-1.06E-5</v>
      </c>
      <c r="C7" t="s">
        <v>5</v>
      </c>
    </row>
    <row r="8" spans="1:3" x14ac:dyDescent="0.3">
      <c r="A8" t="s">
        <v>32</v>
      </c>
      <c r="B8">
        <v>32.81</v>
      </c>
      <c r="C8" t="s">
        <v>33</v>
      </c>
    </row>
    <row r="9" spans="1:3" x14ac:dyDescent="0.3">
      <c r="A9" t="s">
        <v>34</v>
      </c>
      <c r="B9">
        <v>0.13</v>
      </c>
      <c r="C9" t="s">
        <v>35</v>
      </c>
    </row>
    <row r="10" spans="1:3" x14ac:dyDescent="0.3">
      <c r="A10" t="s">
        <v>21</v>
      </c>
      <c r="B10">
        <v>0.33</v>
      </c>
      <c r="C10" t="s">
        <v>35</v>
      </c>
    </row>
    <row r="11" spans="1:3" x14ac:dyDescent="0.3">
      <c r="A11" t="s">
        <v>36</v>
      </c>
      <c r="B11">
        <v>18.59</v>
      </c>
      <c r="C11" t="s">
        <v>33</v>
      </c>
    </row>
    <row r="12" spans="1:3" x14ac:dyDescent="0.3">
      <c r="A12" t="s">
        <v>37</v>
      </c>
      <c r="B12">
        <v>16.63</v>
      </c>
      <c r="C12" t="s">
        <v>33</v>
      </c>
    </row>
    <row r="13" spans="1:3" x14ac:dyDescent="0.3">
      <c r="A13" t="s">
        <v>22</v>
      </c>
      <c r="B13">
        <v>97.7</v>
      </c>
      <c r="C13" t="s">
        <v>33</v>
      </c>
    </row>
    <row r="14" spans="1:3" x14ac:dyDescent="0.3">
      <c r="A14" t="s">
        <v>19</v>
      </c>
      <c r="B14">
        <v>78.45</v>
      </c>
      <c r="C14" t="s">
        <v>33</v>
      </c>
    </row>
    <row r="15" spans="1:3" x14ac:dyDescent="0.3">
      <c r="A15" t="s">
        <v>20</v>
      </c>
      <c r="B15">
        <v>52.02</v>
      </c>
      <c r="C15" t="s">
        <v>33</v>
      </c>
    </row>
    <row r="16" spans="1:3" x14ac:dyDescent="0.3">
      <c r="A16" t="s">
        <v>23</v>
      </c>
      <c r="B16">
        <v>9.81</v>
      </c>
      <c r="C16" t="s">
        <v>33</v>
      </c>
    </row>
    <row r="17" spans="1:3" x14ac:dyDescent="0.3">
      <c r="A17" t="s">
        <v>38</v>
      </c>
      <c r="B17">
        <v>3.21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65.39</v>
      </c>
      <c r="C19" t="s">
        <v>35</v>
      </c>
    </row>
    <row r="20" spans="1:3" x14ac:dyDescent="0.3">
      <c r="A20" t="s">
        <v>42</v>
      </c>
    </row>
    <row r="21" spans="1:3" x14ac:dyDescent="0.3">
      <c r="A21" t="s">
        <v>43</v>
      </c>
      <c r="B21">
        <v>100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23</v>
      </c>
      <c r="C24" t="s">
        <v>12</v>
      </c>
    </row>
    <row r="25" spans="1:3" x14ac:dyDescent="0.3">
      <c r="A25" t="s">
        <v>47</v>
      </c>
      <c r="B25">
        <v>97.68</v>
      </c>
      <c r="C25" t="s">
        <v>48</v>
      </c>
    </row>
    <row r="26" spans="1:3" x14ac:dyDescent="0.3">
      <c r="A26" t="s">
        <v>51</v>
      </c>
      <c r="B26">
        <v>51.26</v>
      </c>
      <c r="C26" t="s">
        <v>48</v>
      </c>
    </row>
    <row r="27" spans="1:3" x14ac:dyDescent="0.3">
      <c r="A27" t="s">
        <v>52</v>
      </c>
      <c r="B27">
        <v>35.200000000000003</v>
      </c>
      <c r="C27" t="s">
        <v>48</v>
      </c>
    </row>
    <row r="28" spans="1:3" x14ac:dyDescent="0.3">
      <c r="A28" t="s">
        <v>49</v>
      </c>
      <c r="B28">
        <v>6.22</v>
      </c>
      <c r="C28" t="s">
        <v>48</v>
      </c>
    </row>
    <row r="29" spans="1:3" x14ac:dyDescent="0.3">
      <c r="A29" t="s">
        <v>50</v>
      </c>
      <c r="B29">
        <v>5</v>
      </c>
      <c r="C29" t="s">
        <v>48</v>
      </c>
    </row>
    <row r="30" spans="1:3" x14ac:dyDescent="0.3">
      <c r="A30" t="s">
        <v>53</v>
      </c>
      <c r="B30">
        <v>348.05</v>
      </c>
      <c r="C30" t="s">
        <v>46</v>
      </c>
    </row>
    <row r="31" spans="1:3" x14ac:dyDescent="0.3">
      <c r="A31" t="s">
        <v>54</v>
      </c>
      <c r="B31">
        <v>183.17</v>
      </c>
      <c r="C31" t="s">
        <v>46</v>
      </c>
    </row>
    <row r="32" spans="1:3" x14ac:dyDescent="0.3">
      <c r="A32" t="s">
        <v>55</v>
      </c>
      <c r="B32">
        <v>15.72</v>
      </c>
      <c r="C32" t="s">
        <v>46</v>
      </c>
    </row>
    <row r="33" spans="1:3" x14ac:dyDescent="0.3">
      <c r="A33" t="s">
        <v>56</v>
      </c>
      <c r="B33">
        <v>115.86</v>
      </c>
      <c r="C33" t="s">
        <v>58</v>
      </c>
    </row>
    <row r="34" spans="1:3" x14ac:dyDescent="0.3">
      <c r="A34" t="s">
        <v>57</v>
      </c>
      <c r="B34">
        <v>662.45</v>
      </c>
      <c r="C34" t="s">
        <v>58</v>
      </c>
    </row>
    <row r="35" spans="1:3" x14ac:dyDescent="0.3">
      <c r="A35" t="s">
        <v>59</v>
      </c>
      <c r="B35">
        <v>90.94</v>
      </c>
      <c r="C35" t="s">
        <v>58</v>
      </c>
    </row>
    <row r="36" spans="1:3" x14ac:dyDescent="0.3">
      <c r="A36" t="s">
        <v>60</v>
      </c>
      <c r="B36">
        <v>34.26</v>
      </c>
      <c r="C36" t="s">
        <v>95</v>
      </c>
    </row>
    <row r="37" spans="1:3" x14ac:dyDescent="0.3">
      <c r="A37" t="s">
        <v>61</v>
      </c>
      <c r="B37">
        <v>1341.87</v>
      </c>
      <c r="C37" t="s">
        <v>58</v>
      </c>
    </row>
    <row r="38" spans="1:3" x14ac:dyDescent="0.3">
      <c r="A38" t="s">
        <v>62</v>
      </c>
      <c r="B38">
        <v>3617.03</v>
      </c>
      <c r="C38" t="s">
        <v>58</v>
      </c>
    </row>
    <row r="39" spans="1:3" x14ac:dyDescent="0.3">
      <c r="A39" t="s">
        <v>63</v>
      </c>
      <c r="B39">
        <v>77.98</v>
      </c>
      <c r="C39" t="s">
        <v>58</v>
      </c>
    </row>
    <row r="40" spans="1:3" x14ac:dyDescent="0.3">
      <c r="A40" t="s">
        <v>64</v>
      </c>
      <c r="B40">
        <v>214.15</v>
      </c>
      <c r="C40" t="s">
        <v>58</v>
      </c>
    </row>
    <row r="41" spans="1:3" x14ac:dyDescent="0.3">
      <c r="A41" t="s">
        <v>65</v>
      </c>
      <c r="B41">
        <v>1122.6300000000001</v>
      </c>
      <c r="C41" t="s">
        <v>58</v>
      </c>
    </row>
    <row r="42" spans="1:3" x14ac:dyDescent="0.3">
      <c r="A42" t="s">
        <v>485</v>
      </c>
      <c r="B42">
        <v>22</v>
      </c>
      <c r="C42" t="s">
        <v>12</v>
      </c>
    </row>
    <row r="43" spans="1:3" x14ac:dyDescent="0.3">
      <c r="A43" t="s">
        <v>66</v>
      </c>
      <c r="B43">
        <v>56.22</v>
      </c>
      <c r="C43" t="s">
        <v>46</v>
      </c>
    </row>
    <row r="44" spans="1:3" x14ac:dyDescent="0.3">
      <c r="A44" t="s">
        <v>67</v>
      </c>
      <c r="B44">
        <v>39.11</v>
      </c>
      <c r="C44" t="s">
        <v>46</v>
      </c>
    </row>
    <row r="45" spans="1:3" x14ac:dyDescent="0.3">
      <c r="A45" t="s">
        <v>68</v>
      </c>
      <c r="B45">
        <v>47.05</v>
      </c>
      <c r="C45" t="s">
        <v>46</v>
      </c>
    </row>
    <row r="46" spans="1:3" x14ac:dyDescent="0.3">
      <c r="A46" t="s">
        <v>39</v>
      </c>
      <c r="B46" t="s">
        <v>69</v>
      </c>
    </row>
    <row r="47" spans="1:3" x14ac:dyDescent="0.3">
      <c r="A47" t="s">
        <v>73</v>
      </c>
      <c r="B47">
        <v>22</v>
      </c>
      <c r="C47" t="s">
        <v>12</v>
      </c>
    </row>
    <row r="48" spans="1:3" x14ac:dyDescent="0.3">
      <c r="A48" t="s">
        <v>75</v>
      </c>
      <c r="B48">
        <v>22</v>
      </c>
      <c r="C48" t="s">
        <v>12</v>
      </c>
    </row>
    <row r="49" spans="1:3" x14ac:dyDescent="0.3">
      <c r="A49" t="s">
        <v>77</v>
      </c>
      <c r="B49">
        <v>22</v>
      </c>
      <c r="C49" t="s">
        <v>12</v>
      </c>
    </row>
    <row r="50" spans="1:3" x14ac:dyDescent="0.3">
      <c r="A50" t="s">
        <v>70</v>
      </c>
      <c r="B50">
        <v>689.98</v>
      </c>
      <c r="C50" t="s">
        <v>46</v>
      </c>
    </row>
    <row r="51" spans="1:3" x14ac:dyDescent="0.3">
      <c r="A51" t="s">
        <v>76</v>
      </c>
      <c r="B51">
        <v>491.09</v>
      </c>
      <c r="C51" t="s">
        <v>46</v>
      </c>
    </row>
    <row r="52" spans="1:3" x14ac:dyDescent="0.3">
      <c r="A52" t="s">
        <v>72</v>
      </c>
      <c r="B52">
        <v>183.17</v>
      </c>
      <c r="C52" t="s">
        <v>46</v>
      </c>
    </row>
    <row r="53" spans="1:3" x14ac:dyDescent="0.3">
      <c r="A53" t="s">
        <v>71</v>
      </c>
      <c r="B53">
        <v>15.72</v>
      </c>
      <c r="C53" t="s">
        <v>46</v>
      </c>
    </row>
    <row r="54" spans="1:3" x14ac:dyDescent="0.3">
      <c r="A54" t="s">
        <v>74</v>
      </c>
      <c r="B54">
        <v>3617.03</v>
      </c>
      <c r="C54" t="s">
        <v>58</v>
      </c>
    </row>
    <row r="55" spans="1:3" x14ac:dyDescent="0.3">
      <c r="A55" t="s">
        <v>79</v>
      </c>
      <c r="B55">
        <v>97.68</v>
      </c>
      <c r="C55" t="s">
        <v>48</v>
      </c>
    </row>
    <row r="56" spans="1:3" x14ac:dyDescent="0.3">
      <c r="A56" t="s">
        <v>78</v>
      </c>
    </row>
    <row r="57" spans="1:3" x14ac:dyDescent="0.3">
      <c r="A57" t="s">
        <v>29</v>
      </c>
    </row>
    <row r="58" spans="1:3" x14ac:dyDescent="0.3">
      <c r="A58" t="s">
        <v>28</v>
      </c>
    </row>
    <row r="59" spans="1:3" x14ac:dyDescent="0.3">
      <c r="A59" t="s">
        <v>30</v>
      </c>
      <c r="B59">
        <v>3.51</v>
      </c>
      <c r="C59" t="s">
        <v>35</v>
      </c>
    </row>
    <row r="60" spans="1:3" x14ac:dyDescent="0.3">
      <c r="A60" t="s">
        <v>18</v>
      </c>
      <c r="B60">
        <v>3.51</v>
      </c>
      <c r="C60" t="s">
        <v>35</v>
      </c>
    </row>
    <row r="61" spans="1:3" x14ac:dyDescent="0.3">
      <c r="A61" t="s">
        <v>31</v>
      </c>
      <c r="B61" s="2">
        <v>-1.3799999999999999E-7</v>
      </c>
      <c r="C61" t="s">
        <v>5</v>
      </c>
    </row>
    <row r="62" spans="1:3" x14ac:dyDescent="0.3">
      <c r="A62" t="s">
        <v>32</v>
      </c>
      <c r="B62">
        <v>1.65</v>
      </c>
      <c r="C62" t="s">
        <v>33</v>
      </c>
    </row>
    <row r="63" spans="1:3" x14ac:dyDescent="0.3">
      <c r="A63" t="s">
        <v>34</v>
      </c>
      <c r="B63">
        <v>2.2000000000000002</v>
      </c>
      <c r="C63" t="s">
        <v>33</v>
      </c>
    </row>
    <row r="64" spans="1:3" x14ac:dyDescent="0.3">
      <c r="A64" t="s">
        <v>21</v>
      </c>
      <c r="B64">
        <v>4.8499999999999996</v>
      </c>
      <c r="C64" t="s">
        <v>33</v>
      </c>
    </row>
    <row r="65" spans="1:3" x14ac:dyDescent="0.3">
      <c r="A65" t="s">
        <v>36</v>
      </c>
      <c r="B65">
        <v>0.4</v>
      </c>
      <c r="C65" t="s">
        <v>33</v>
      </c>
    </row>
    <row r="66" spans="1:3" x14ac:dyDescent="0.3">
      <c r="A66" t="s">
        <v>37</v>
      </c>
      <c r="B66">
        <v>0.3</v>
      </c>
      <c r="C66" t="s">
        <v>33</v>
      </c>
    </row>
    <row r="67" spans="1:3" x14ac:dyDescent="0.3">
      <c r="A67" t="s">
        <v>22</v>
      </c>
      <c r="B67">
        <v>3.2</v>
      </c>
      <c r="C67" t="s">
        <v>33</v>
      </c>
    </row>
    <row r="68" spans="1:3" x14ac:dyDescent="0.3">
      <c r="A68" t="s">
        <v>19</v>
      </c>
      <c r="B68">
        <v>1.85</v>
      </c>
      <c r="C68" t="s">
        <v>33</v>
      </c>
    </row>
    <row r="69" spans="1:3" x14ac:dyDescent="0.3">
      <c r="A69" t="s">
        <v>20</v>
      </c>
      <c r="B69">
        <v>51.11</v>
      </c>
      <c r="C69" t="s">
        <v>95</v>
      </c>
    </row>
    <row r="70" spans="1:3" x14ac:dyDescent="0.3">
      <c r="A70" t="s">
        <v>23</v>
      </c>
      <c r="B70">
        <v>34.99</v>
      </c>
      <c r="C70" t="s">
        <v>95</v>
      </c>
    </row>
    <row r="71" spans="1:3" x14ac:dyDescent="0.3">
      <c r="A71" t="s">
        <v>38</v>
      </c>
      <c r="B71">
        <v>60.92</v>
      </c>
      <c r="C71" t="s">
        <v>95</v>
      </c>
    </row>
    <row r="72" spans="1:3" x14ac:dyDescent="0.3">
      <c r="A72" t="s">
        <v>39</v>
      </c>
    </row>
    <row r="73" spans="1:3" x14ac:dyDescent="0.3">
      <c r="A73" t="s">
        <v>41</v>
      </c>
      <c r="B73">
        <v>3.59</v>
      </c>
      <c r="C73" t="s">
        <v>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8E2E-D5E3-40F1-BAE5-E7F4D8EE35D0}">
  <sheetPr codeName="Sheet25"/>
  <dimension ref="A1:I85"/>
  <sheetViews>
    <sheetView workbookViewId="0">
      <selection activeCell="A17" sqref="A17"/>
    </sheetView>
  </sheetViews>
  <sheetFormatPr defaultRowHeight="14.4" x14ac:dyDescent="0.3"/>
  <cols>
    <col min="1" max="1" width="22.21875" customWidth="1"/>
  </cols>
  <sheetData>
    <row r="1" spans="1:6" x14ac:dyDescent="0.3">
      <c r="A1" t="s">
        <v>327</v>
      </c>
      <c r="B1" t="s">
        <v>328</v>
      </c>
      <c r="C1" t="s">
        <v>329</v>
      </c>
      <c r="D1" s="3">
        <v>43733</v>
      </c>
      <c r="E1" t="s">
        <v>330</v>
      </c>
      <c r="F1" s="4">
        <v>0.81730324074074068</v>
      </c>
    </row>
    <row r="5" spans="1:6" x14ac:dyDescent="0.3">
      <c r="A5" t="s">
        <v>331</v>
      </c>
    </row>
    <row r="7" spans="1:6" x14ac:dyDescent="0.3">
      <c r="A7" t="s">
        <v>332</v>
      </c>
      <c r="B7" t="s">
        <v>333</v>
      </c>
    </row>
    <row r="8" spans="1:6" x14ac:dyDescent="0.3">
      <c r="A8" t="s">
        <v>334</v>
      </c>
      <c r="B8" t="s">
        <v>456</v>
      </c>
    </row>
    <row r="9" spans="1:6" x14ac:dyDescent="0.3">
      <c r="A9" t="s">
        <v>336</v>
      </c>
      <c r="B9" t="s">
        <v>337</v>
      </c>
    </row>
    <row r="10" spans="1:6" x14ac:dyDescent="0.3">
      <c r="A10" t="s">
        <v>338</v>
      </c>
      <c r="B10" t="s">
        <v>457</v>
      </c>
    </row>
    <row r="11" spans="1:6" x14ac:dyDescent="0.3">
      <c r="A11" t="s">
        <v>340</v>
      </c>
    </row>
    <row r="12" spans="1:6" x14ac:dyDescent="0.3">
      <c r="A12" t="s">
        <v>341</v>
      </c>
      <c r="B12" t="s">
        <v>342</v>
      </c>
    </row>
    <row r="13" spans="1:6" x14ac:dyDescent="0.3">
      <c r="A13" t="s">
        <v>343</v>
      </c>
      <c r="B13" t="s">
        <v>342</v>
      </c>
    </row>
    <row r="14" spans="1:6" x14ac:dyDescent="0.3">
      <c r="A14" t="s">
        <v>344</v>
      </c>
      <c r="B14" t="s">
        <v>342</v>
      </c>
    </row>
    <row r="15" spans="1:6" x14ac:dyDescent="0.3">
      <c r="A15" t="s">
        <v>345</v>
      </c>
      <c r="B15" t="s">
        <v>342</v>
      </c>
    </row>
    <row r="16" spans="1:6" x14ac:dyDescent="0.3">
      <c r="A16" t="s">
        <v>346</v>
      </c>
      <c r="B16" t="s">
        <v>342</v>
      </c>
    </row>
    <row r="17" spans="1:2" x14ac:dyDescent="0.3">
      <c r="A17" t="s">
        <v>347</v>
      </c>
      <c r="B17" t="s">
        <v>342</v>
      </c>
    </row>
    <row r="18" spans="1:2" x14ac:dyDescent="0.3">
      <c r="A18" t="s">
        <v>348</v>
      </c>
      <c r="B18" t="s">
        <v>342</v>
      </c>
    </row>
    <row r="19" spans="1:2" x14ac:dyDescent="0.3">
      <c r="A19" t="s">
        <v>349</v>
      </c>
      <c r="B19" t="s">
        <v>342</v>
      </c>
    </row>
    <row r="20" spans="1:2" x14ac:dyDescent="0.3">
      <c r="A20" t="s">
        <v>350</v>
      </c>
      <c r="B20" t="s">
        <v>342</v>
      </c>
    </row>
    <row r="21" spans="1:2" x14ac:dyDescent="0.3">
      <c r="A21" t="s">
        <v>351</v>
      </c>
      <c r="B21" t="s">
        <v>352</v>
      </c>
    </row>
    <row r="22" spans="1:2" x14ac:dyDescent="0.3">
      <c r="A22" t="s">
        <v>353</v>
      </c>
      <c r="B22" s="3">
        <v>37804</v>
      </c>
    </row>
    <row r="23" spans="1:2" x14ac:dyDescent="0.3">
      <c r="A23" t="s">
        <v>354</v>
      </c>
      <c r="B23" t="s">
        <v>458</v>
      </c>
    </row>
    <row r="24" spans="1:2" x14ac:dyDescent="0.3">
      <c r="B24" t="s">
        <v>459</v>
      </c>
    </row>
    <row r="25" spans="1:2" x14ac:dyDescent="0.3">
      <c r="A25" t="s">
        <v>357</v>
      </c>
      <c r="B25" t="s">
        <v>460</v>
      </c>
    </row>
    <row r="26" spans="1:2" x14ac:dyDescent="0.3">
      <c r="B26" t="s">
        <v>459</v>
      </c>
    </row>
    <row r="27" spans="1:2" x14ac:dyDescent="0.3">
      <c r="A27" t="s">
        <v>359</v>
      </c>
      <c r="B27" t="s">
        <v>461</v>
      </c>
    </row>
    <row r="28" spans="1:2" x14ac:dyDescent="0.3">
      <c r="B28" t="s">
        <v>361</v>
      </c>
    </row>
    <row r="29" spans="1:2" x14ac:dyDescent="0.3">
      <c r="B29" t="s">
        <v>462</v>
      </c>
    </row>
    <row r="30" spans="1:2" x14ac:dyDescent="0.3">
      <c r="A30" t="s">
        <v>363</v>
      </c>
    </row>
    <row r="31" spans="1:2" x14ac:dyDescent="0.3">
      <c r="A31" t="s">
        <v>365</v>
      </c>
      <c r="B31" t="s">
        <v>463</v>
      </c>
    </row>
    <row r="32" spans="1:2" x14ac:dyDescent="0.3">
      <c r="B32" t="s">
        <v>367</v>
      </c>
    </row>
    <row r="33" spans="1:2" x14ac:dyDescent="0.3">
      <c r="A33" t="s">
        <v>368</v>
      </c>
      <c r="B33" t="s">
        <v>464</v>
      </c>
    </row>
    <row r="34" spans="1:2" x14ac:dyDescent="0.3">
      <c r="B34" t="s">
        <v>465</v>
      </c>
    </row>
    <row r="35" spans="1:2" x14ac:dyDescent="0.3">
      <c r="B35" t="s">
        <v>466</v>
      </c>
    </row>
    <row r="36" spans="1:2" x14ac:dyDescent="0.3">
      <c r="A36" t="s">
        <v>372</v>
      </c>
      <c r="B36" t="s">
        <v>467</v>
      </c>
    </row>
    <row r="37" spans="1:2" x14ac:dyDescent="0.3">
      <c r="B37" t="s">
        <v>468</v>
      </c>
    </row>
    <row r="38" spans="1:2" x14ac:dyDescent="0.3">
      <c r="B38" t="s">
        <v>469</v>
      </c>
    </row>
    <row r="39" spans="1:2" x14ac:dyDescent="0.3">
      <c r="B39" t="s">
        <v>470</v>
      </c>
    </row>
    <row r="40" spans="1:2" x14ac:dyDescent="0.3">
      <c r="B40" t="s">
        <v>471</v>
      </c>
    </row>
    <row r="41" spans="1:2" x14ac:dyDescent="0.3">
      <c r="B41" t="s">
        <v>378</v>
      </c>
    </row>
    <row r="42" spans="1:2" x14ac:dyDescent="0.3">
      <c r="B42" t="s">
        <v>379</v>
      </c>
    </row>
    <row r="43" spans="1:2" x14ac:dyDescent="0.3">
      <c r="B43" t="s">
        <v>472</v>
      </c>
    </row>
    <row r="44" spans="1:2" x14ac:dyDescent="0.3">
      <c r="B44" t="s">
        <v>473</v>
      </c>
    </row>
    <row r="45" spans="1:2" x14ac:dyDescent="0.3">
      <c r="B45" t="s">
        <v>474</v>
      </c>
    </row>
    <row r="46" spans="1:2" x14ac:dyDescent="0.3">
      <c r="B46" t="s">
        <v>475</v>
      </c>
    </row>
    <row r="47" spans="1:2" x14ac:dyDescent="0.3">
      <c r="A47" t="s">
        <v>384</v>
      </c>
    </row>
    <row r="48" spans="1:2" x14ac:dyDescent="0.3">
      <c r="A48" t="s">
        <v>385</v>
      </c>
      <c r="B48" t="s">
        <v>386</v>
      </c>
    </row>
    <row r="51" spans="1:9" x14ac:dyDescent="0.3">
      <c r="A51" t="s">
        <v>387</v>
      </c>
    </row>
    <row r="52" spans="1:9" x14ac:dyDescent="0.3">
      <c r="A52" t="s">
        <v>405</v>
      </c>
      <c r="B52">
        <v>1</v>
      </c>
      <c r="C52" t="s">
        <v>5</v>
      </c>
      <c r="D52">
        <v>100</v>
      </c>
      <c r="E52" t="s">
        <v>388</v>
      </c>
      <c r="F52" t="s">
        <v>476</v>
      </c>
      <c r="G52" t="s">
        <v>390</v>
      </c>
    </row>
    <row r="54" spans="1:9" x14ac:dyDescent="0.3">
      <c r="A54" t="s">
        <v>391</v>
      </c>
    </row>
    <row r="56" spans="1:9" x14ac:dyDescent="0.3">
      <c r="A56" t="s">
        <v>45</v>
      </c>
    </row>
    <row r="57" spans="1:9" x14ac:dyDescent="0.3">
      <c r="A57" t="s">
        <v>477</v>
      </c>
      <c r="B57" t="s">
        <v>393</v>
      </c>
      <c r="C57">
        <v>2.4E-2</v>
      </c>
      <c r="D57" t="s">
        <v>394</v>
      </c>
      <c r="E57" t="s">
        <v>395</v>
      </c>
      <c r="F57">
        <v>1.2</v>
      </c>
      <c r="I57" t="s">
        <v>478</v>
      </c>
    </row>
    <row r="59" spans="1:9" x14ac:dyDescent="0.3">
      <c r="A59" t="s">
        <v>399</v>
      </c>
    </row>
    <row r="60" spans="1:9" x14ac:dyDescent="0.3">
      <c r="A60" t="s">
        <v>400</v>
      </c>
      <c r="B60">
        <v>15</v>
      </c>
      <c r="C60" t="s">
        <v>10</v>
      </c>
      <c r="D60" t="s">
        <v>395</v>
      </c>
      <c r="E60">
        <v>1.2</v>
      </c>
      <c r="H60" t="s">
        <v>478</v>
      </c>
    </row>
    <row r="61" spans="1:9" x14ac:dyDescent="0.3">
      <c r="A61" t="s">
        <v>479</v>
      </c>
      <c r="B61">
        <v>4.0000000000000001E-10</v>
      </c>
      <c r="C61" t="s">
        <v>413</v>
      </c>
      <c r="D61" t="s">
        <v>395</v>
      </c>
      <c r="E61">
        <v>3.2</v>
      </c>
      <c r="H61" t="s">
        <v>480</v>
      </c>
    </row>
    <row r="63" spans="1:9" x14ac:dyDescent="0.3">
      <c r="A63" t="s">
        <v>419</v>
      </c>
    </row>
    <row r="65" spans="1:9" x14ac:dyDescent="0.3">
      <c r="A65" t="s">
        <v>420</v>
      </c>
    </row>
    <row r="66" spans="1:9" x14ac:dyDescent="0.3">
      <c r="A66" t="s">
        <v>421</v>
      </c>
      <c r="B66" t="s">
        <v>422</v>
      </c>
      <c r="C66">
        <v>54</v>
      </c>
      <c r="D66" t="s">
        <v>12</v>
      </c>
      <c r="E66" t="s">
        <v>395</v>
      </c>
      <c r="F66">
        <v>1.2</v>
      </c>
      <c r="I66" t="s">
        <v>481</v>
      </c>
    </row>
    <row r="67" spans="1:9" x14ac:dyDescent="0.3">
      <c r="A67" t="s">
        <v>482</v>
      </c>
      <c r="B67" t="s">
        <v>422</v>
      </c>
      <c r="C67">
        <v>2E-3</v>
      </c>
      <c r="D67" t="s">
        <v>5</v>
      </c>
      <c r="E67" t="s">
        <v>395</v>
      </c>
      <c r="F67">
        <v>5.4</v>
      </c>
      <c r="I67" t="s">
        <v>483</v>
      </c>
    </row>
    <row r="69" spans="1:9" x14ac:dyDescent="0.3">
      <c r="A69" t="s">
        <v>424</v>
      </c>
    </row>
    <row r="71" spans="1:9" x14ac:dyDescent="0.3">
      <c r="A71" t="s">
        <v>432</v>
      </c>
    </row>
    <row r="73" spans="1:9" x14ac:dyDescent="0.3">
      <c r="A73" t="s">
        <v>433</v>
      </c>
    </row>
    <row r="75" spans="1:9" x14ac:dyDescent="0.3">
      <c r="A75" t="s">
        <v>434</v>
      </c>
    </row>
    <row r="77" spans="1:9" x14ac:dyDescent="0.3">
      <c r="A77" t="s">
        <v>435</v>
      </c>
    </row>
    <row r="79" spans="1:9" x14ac:dyDescent="0.3">
      <c r="A79" t="s">
        <v>436</v>
      </c>
    </row>
    <row r="81" spans="1:1" x14ac:dyDescent="0.3">
      <c r="A81" t="s">
        <v>437</v>
      </c>
    </row>
    <row r="83" spans="1:1" x14ac:dyDescent="0.3">
      <c r="A83" t="s">
        <v>442</v>
      </c>
    </row>
    <row r="85" spans="1:1" x14ac:dyDescent="0.3">
      <c r="A85" t="s">
        <v>443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8BEC-5574-4060-BACF-92FC14BEBE85}">
  <sheetPr codeName="Sheet24"/>
  <dimension ref="A1:H3"/>
  <sheetViews>
    <sheetView workbookViewId="0">
      <selection activeCell="B2" sqref="B2:H2"/>
    </sheetView>
  </sheetViews>
  <sheetFormatPr defaultRowHeight="14.4" x14ac:dyDescent="0.3"/>
  <cols>
    <col min="1" max="1" width="19.33203125" customWidth="1"/>
    <col min="7" max="8" width="10" bestFit="1" customWidth="1"/>
  </cols>
  <sheetData>
    <row r="1" spans="1:8" x14ac:dyDescent="0.3">
      <c r="A1" t="s">
        <v>454</v>
      </c>
    </row>
    <row r="2" spans="1:8" x14ac:dyDescent="0.3">
      <c r="A2" t="s">
        <v>455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9</v>
      </c>
      <c r="B3">
        <f>Ozone_inputs_outputs_Simapro!B60*'Electricity US Mix_GREET'!H5</f>
        <v>7.65</v>
      </c>
      <c r="C3">
        <f>Ozone_inputs_outputs_Simapro!B60*'Electricity US Mix_GREET'!H14*10^-3</f>
        <v>1.47E-2</v>
      </c>
      <c r="D3">
        <f>Ozone_inputs_outputs_Simapro!B60*'Electricity US Mix_GREET'!H15*10^-6</f>
        <v>1.2059999999999999E-4</v>
      </c>
      <c r="E3">
        <f>Ozone_inputs_outputs_Simapro!B60*'Electricity US Mix_GREET'!H10*10^-3</f>
        <v>5.3999999999999994E-3</v>
      </c>
      <c r="F3">
        <f>Ozone_inputs_outputs_Simapro!B60*'Electricity US Mix_GREET'!H13*10^-3</f>
        <v>1.41E-2</v>
      </c>
      <c r="G3">
        <f>Ozone_inputs_outputs_Simapro!B60*'Electricity US Mix_GREET'!H16*10^-6</f>
        <v>3.4199999999999991E-5</v>
      </c>
      <c r="H3">
        <f>Ozone_inputs_outputs_Simapro!B60*'Electricity US Mix_GREET'!H17*10^-6</f>
        <v>7.8299999999999992E-5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A425-DE29-4355-AFE0-526813E83875}">
  <sheetPr codeName="Sheet8"/>
  <dimension ref="A1:I11"/>
  <sheetViews>
    <sheetView workbookViewId="0">
      <selection activeCell="B4" sqref="B4"/>
    </sheetView>
  </sheetViews>
  <sheetFormatPr defaultRowHeight="14.4" x14ac:dyDescent="0.3"/>
  <cols>
    <col min="1" max="1" width="28" customWidth="1"/>
    <col min="2" max="2" width="12" bestFit="1" customWidth="1"/>
    <col min="5" max="5" width="11.44140625" customWidth="1"/>
    <col min="6" max="7" width="11.5546875" bestFit="1" customWidth="1"/>
    <col min="8" max="12" width="12.33203125" bestFit="1" customWidth="1"/>
  </cols>
  <sheetData>
    <row r="1" spans="1:9" x14ac:dyDescent="0.3">
      <c r="A1" t="s">
        <v>90</v>
      </c>
    </row>
    <row r="3" spans="1:9" x14ac:dyDescent="0.3">
      <c r="A3" t="s">
        <v>653</v>
      </c>
      <c r="B3" t="s">
        <v>446</v>
      </c>
      <c r="C3" t="s">
        <v>447</v>
      </c>
      <c r="D3" t="s">
        <v>448</v>
      </c>
      <c r="E3" t="s">
        <v>449</v>
      </c>
      <c r="F3" t="s">
        <v>450</v>
      </c>
      <c r="G3" t="s">
        <v>451</v>
      </c>
      <c r="H3" t="s">
        <v>452</v>
      </c>
    </row>
    <row r="4" spans="1:9" x14ac:dyDescent="0.3">
      <c r="A4" t="s">
        <v>86</v>
      </c>
      <c r="B4" s="2">
        <f>'Potato starch inputs_Simapro'!B4*'Potatoes at farm_results'!B4</f>
        <v>0.33263669599999995</v>
      </c>
      <c r="C4" s="2">
        <f>'Potato starch inputs_Simapro'!B4*'Potatoes at farm_results'!B5</f>
        <v>2.24654416E-2</v>
      </c>
      <c r="D4" s="2">
        <f>'Potato starch inputs_Simapro'!B4*'Potatoes at farm_results'!B6</f>
        <v>3.483067392E-3</v>
      </c>
      <c r="E4" s="2">
        <f>'Potato starch inputs_Simapro'!B4*'Potatoes at farm_results'!B7</f>
        <v>5.6114251199999993E-3</v>
      </c>
      <c r="F4" s="2">
        <f>'Potato starch inputs_Simapro'!B4*'Potatoes at farm_results'!B8</f>
        <v>7.6333963999999999E-3</v>
      </c>
      <c r="G4" s="2">
        <f>'Potato starch inputs_Simapro'!B4*'Potatoes at farm_results'!B9</f>
        <v>1.9507468399999998E-2</v>
      </c>
      <c r="H4" s="2">
        <f>'Potato starch inputs_Simapro'!B4*'Potatoes at farm_results'!B10</f>
        <v>8.5771638400000006E-3</v>
      </c>
    </row>
    <row r="5" spans="1:9" x14ac:dyDescent="0.3">
      <c r="A5" t="s">
        <v>87</v>
      </c>
      <c r="B5" s="2">
        <f>'Potato starch inputs_Simapro'!$B$5*Tapwater_results!B10</f>
        <v>8.4196547503348918E-4</v>
      </c>
      <c r="C5" s="2">
        <f>'Potato starch inputs_Simapro'!$B$5*Tapwater_results!C10</f>
        <v>1.6109342526588617E-6</v>
      </c>
      <c r="D5" s="2">
        <f>'Potato starch inputs_Simapro'!$B$5*Tapwater_results!D10</f>
        <v>1.4063424797087998E-8</v>
      </c>
      <c r="E5" s="2">
        <f>'Potato starch inputs_Simapro'!$B$5*Tapwater_results!E10</f>
        <v>6.0289772373764889E-7</v>
      </c>
      <c r="F5" s="2">
        <f>'Potato starch inputs_Simapro'!$B$5*Tapwater_results!F10</f>
        <v>1.5444603245220271E-6</v>
      </c>
      <c r="G5" s="2">
        <f>'Potato starch inputs_Simapro'!$B$5*Tapwater_results!G10</f>
        <v>3.916516574718363E-9</v>
      </c>
      <c r="H5" s="2">
        <f>'Potato starch inputs_Simapro'!$B$5*Tapwater_results!H10</f>
        <v>8.6611407900671201E-9</v>
      </c>
    </row>
    <row r="6" spans="1:9" x14ac:dyDescent="0.3">
      <c r="A6" t="s">
        <v>9</v>
      </c>
      <c r="B6" s="2">
        <f>'Potato starch inputs_Simapro'!B6*'Electricity US Mix_GREET'!H5</f>
        <v>8.5425000000000001E-2</v>
      </c>
      <c r="C6" s="2">
        <f>'Potato starch inputs_Simapro'!B6*'Electricity US Mix_GREET'!H14*10^-3</f>
        <v>1.6415000000000003E-4</v>
      </c>
      <c r="D6" s="2">
        <f>'Potato starch inputs_Simapro'!B6*'Electricity US Mix_GREET'!H15*10^-6</f>
        <v>1.3467E-6</v>
      </c>
      <c r="E6" s="2">
        <f>'Potato starch inputs_Simapro'!B6*'Electricity US Mix_GREET'!H10*10^-3</f>
        <v>6.0300000000000002E-5</v>
      </c>
      <c r="F6" s="2">
        <f>'Potato starch inputs_Simapro'!B6*'Electricity US Mix_GREET'!H13*10^-3</f>
        <v>1.5745000000000001E-4</v>
      </c>
      <c r="G6" s="2">
        <f>'Potato starch inputs_Simapro'!B6*'Electricity US Mix_GREET'!H16*10^-6</f>
        <v>3.819E-7</v>
      </c>
      <c r="H6" s="2">
        <f>'Potato starch inputs_Simapro'!B6*'Electricity US Mix_GREET'!H17*10^-6</f>
        <v>8.7434999999999994E-7</v>
      </c>
    </row>
    <row r="7" spans="1:9" x14ac:dyDescent="0.3">
      <c r="A7" t="s">
        <v>88</v>
      </c>
      <c r="B7" s="2">
        <f>'Potato starch inputs_Simapro'!B7*'NG-fired electricity_GREET'!B5</f>
        <v>0.19488</v>
      </c>
      <c r="C7" s="2">
        <f>'Potato starch inputs_Simapro'!B7*'NG-fired electricity_GREET'!B14*10^-3</f>
        <v>5.0343999999999996E-4</v>
      </c>
      <c r="D7" s="2">
        <f>'Potato starch inputs_Simapro'!B7*'NG-fired electricity_GREET'!B15*10^-6</f>
        <v>2.8095200000000001E-6</v>
      </c>
      <c r="E7" s="2">
        <f>'Potato starch inputs_Simapro'!B7*'NG-fired electricity_GREET'!B10*10^-3</f>
        <v>1.7864000000000004E-4</v>
      </c>
      <c r="F7" s="2">
        <f>'Potato starch inputs_Simapro'!B7*'NG-fired electricity_GREET'!B13*10^-6</f>
        <v>4.3133439999999999E-5</v>
      </c>
      <c r="G7" s="2">
        <f>'Potato starch inputs_Simapro'!B7*'NG-fired electricity_GREET'!B16*10^-6</f>
        <v>1.1205599999999999E-6</v>
      </c>
      <c r="H7" s="2">
        <f>'Potato starch inputs_Simapro'!B7*'NG-fired electricity_GREET'!B17*10^-6</f>
        <v>2.8095200000000001E-6</v>
      </c>
    </row>
    <row r="8" spans="1:9" x14ac:dyDescent="0.3">
      <c r="A8" t="s">
        <v>89</v>
      </c>
      <c r="B8" s="2">
        <f>'Potato starch inputs_Simapro'!B8*'HD Truck_GREET'!B5</f>
        <v>4.5266200000000003E-3</v>
      </c>
      <c r="C8" s="2">
        <f>'Potato starch inputs_Simapro'!B8*'HD Truck_GREET'!C5</f>
        <v>1.7835999999999999E-7</v>
      </c>
      <c r="D8" s="2">
        <f>'Potato starch inputs_Simapro'!B8*'HD Truck_GREET'!D5</f>
        <v>7.3019800000000009E-9</v>
      </c>
      <c r="E8" s="2">
        <f>'Potato starch inputs_Simapro'!B8*'HD Truck_GREET'!E5</f>
        <v>4.2130199999999999E-6</v>
      </c>
      <c r="F8" s="2">
        <f>'Potato starch inputs_Simapro'!B8*'HD Truck_GREET'!F5</f>
        <v>4.3280954721951229E-8</v>
      </c>
      <c r="G8" s="2">
        <f>'Potato starch inputs_Simapro'!B8*'HD Truck_GREET'!G5</f>
        <v>7.776300000000001E-9</v>
      </c>
      <c r="H8" s="2">
        <f>'Potato starch inputs_Simapro'!B8*'HD Truck_GREET'!H5</f>
        <v>1.3720000000000001E-8</v>
      </c>
    </row>
    <row r="9" spans="1:9" x14ac:dyDescent="0.3">
      <c r="A9" t="s">
        <v>25</v>
      </c>
      <c r="B9" s="2">
        <f>SUM(B4:B8)</f>
        <v>0.61831028147503342</v>
      </c>
      <c r="C9" s="2">
        <f t="shared" ref="C9:H9" si="0">SUM(C4:C8)</f>
        <v>2.3134820894252658E-2</v>
      </c>
      <c r="D9" s="2">
        <f t="shared" si="0"/>
        <v>3.4872449774047969E-3</v>
      </c>
      <c r="E9" s="2">
        <f t="shared" si="0"/>
        <v>5.8551810377237374E-3</v>
      </c>
      <c r="F9" s="2">
        <f t="shared" si="0"/>
        <v>7.8355675812792434E-3</v>
      </c>
      <c r="G9" s="2">
        <f t="shared" si="0"/>
        <v>1.9508982552816575E-2</v>
      </c>
      <c r="H9" s="2">
        <f t="shared" si="0"/>
        <v>8.580870091140792E-3</v>
      </c>
    </row>
    <row r="10" spans="1:9" x14ac:dyDescent="0.3">
      <c r="B10" s="2"/>
    </row>
    <row r="11" spans="1:9" x14ac:dyDescent="0.3">
      <c r="F11" s="2"/>
      <c r="G11" s="2"/>
      <c r="H11" s="2"/>
      <c r="I11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49E8-56D8-4C2A-9A80-48305ECB6B4D}">
  <sheetPr codeName="Sheet7"/>
  <dimension ref="A1:C8"/>
  <sheetViews>
    <sheetView workbookViewId="0">
      <selection activeCell="L20" sqref="L20"/>
    </sheetView>
  </sheetViews>
  <sheetFormatPr defaultRowHeight="14.4" x14ac:dyDescent="0.3"/>
  <cols>
    <col min="1" max="1" width="26" customWidth="1"/>
  </cols>
  <sheetData>
    <row r="1" spans="1:3" x14ac:dyDescent="0.3">
      <c r="A1" t="s">
        <v>84</v>
      </c>
    </row>
    <row r="3" spans="1:3" x14ac:dyDescent="0.3">
      <c r="A3" t="s">
        <v>85</v>
      </c>
      <c r="B3" t="s">
        <v>2</v>
      </c>
      <c r="C3" t="s">
        <v>3</v>
      </c>
    </row>
    <row r="4" spans="1:3" x14ac:dyDescent="0.3">
      <c r="A4" t="s">
        <v>86</v>
      </c>
      <c r="B4">
        <v>3.92</v>
      </c>
      <c r="C4" t="s">
        <v>5</v>
      </c>
    </row>
    <row r="5" spans="1:3" x14ac:dyDescent="0.3">
      <c r="A5" t="s">
        <v>87</v>
      </c>
      <c r="B5">
        <v>3.7269999999999999</v>
      </c>
      <c r="C5" t="s">
        <v>5</v>
      </c>
    </row>
    <row r="6" spans="1:3" x14ac:dyDescent="0.3">
      <c r="A6" t="s">
        <v>9</v>
      </c>
      <c r="B6">
        <f>0.1675</f>
        <v>0.16750000000000001</v>
      </c>
      <c r="C6" t="s">
        <v>10</v>
      </c>
    </row>
    <row r="7" spans="1:3" x14ac:dyDescent="0.3">
      <c r="A7" t="s">
        <v>88</v>
      </c>
      <c r="B7">
        <f>1.624</f>
        <v>1.6240000000000001</v>
      </c>
      <c r="C7" t="s">
        <v>12</v>
      </c>
    </row>
    <row r="8" spans="1:3" x14ac:dyDescent="0.3">
      <c r="A8" t="s">
        <v>89</v>
      </c>
      <c r="B8">
        <f>0.098</f>
        <v>9.8000000000000004E-2</v>
      </c>
      <c r="C8" t="s">
        <v>16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B540-9C1D-497D-A633-658133FF81D1}">
  <sheetPr codeName="Sheet6"/>
  <dimension ref="A1:C74"/>
  <sheetViews>
    <sheetView workbookViewId="0">
      <selection activeCell="L20" sqref="L20"/>
    </sheetView>
  </sheetViews>
  <sheetFormatPr defaultRowHeight="14.4" x14ac:dyDescent="0.3"/>
  <sheetData>
    <row r="1" spans="1:3" x14ac:dyDescent="0.3">
      <c r="A1" t="s">
        <v>81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1.05</v>
      </c>
      <c r="C5" t="s">
        <v>5</v>
      </c>
    </row>
    <row r="6" spans="1:3" x14ac:dyDescent="0.3">
      <c r="A6" t="s">
        <v>18</v>
      </c>
      <c r="B6">
        <v>1.06</v>
      </c>
      <c r="C6" t="s">
        <v>5</v>
      </c>
    </row>
    <row r="7" spans="1:3" x14ac:dyDescent="0.3">
      <c r="A7" t="s">
        <v>31</v>
      </c>
      <c r="B7">
        <v>-0.01</v>
      </c>
      <c r="C7" t="s">
        <v>5</v>
      </c>
    </row>
    <row r="8" spans="1:3" x14ac:dyDescent="0.3">
      <c r="A8" t="s">
        <v>32</v>
      </c>
      <c r="B8">
        <v>0.21</v>
      </c>
      <c r="C8" t="s">
        <v>35</v>
      </c>
    </row>
    <row r="9" spans="1:3" x14ac:dyDescent="0.3">
      <c r="A9" t="s">
        <v>34</v>
      </c>
      <c r="B9">
        <v>0.61</v>
      </c>
      <c r="C9" t="s">
        <v>35</v>
      </c>
    </row>
    <row r="10" spans="1:3" x14ac:dyDescent="0.3">
      <c r="A10" t="s">
        <v>21</v>
      </c>
      <c r="B10">
        <v>1.32</v>
      </c>
      <c r="C10" t="s">
        <v>35</v>
      </c>
    </row>
    <row r="11" spans="1:3" x14ac:dyDescent="0.3">
      <c r="A11" t="s">
        <v>36</v>
      </c>
      <c r="B11">
        <v>0.21</v>
      </c>
      <c r="C11" t="s">
        <v>35</v>
      </c>
    </row>
    <row r="12" spans="1:3" x14ac:dyDescent="0.3">
      <c r="A12" t="s">
        <v>37</v>
      </c>
      <c r="B12">
        <v>0.13</v>
      </c>
      <c r="C12" t="s">
        <v>35</v>
      </c>
    </row>
    <row r="13" spans="1:3" x14ac:dyDescent="0.3">
      <c r="A13" t="s">
        <v>22</v>
      </c>
      <c r="B13">
        <v>4.0199999999999996</v>
      </c>
      <c r="C13" t="s">
        <v>35</v>
      </c>
    </row>
    <row r="14" spans="1:3" x14ac:dyDescent="0.3">
      <c r="A14" t="s">
        <v>19</v>
      </c>
      <c r="B14">
        <v>2.36</v>
      </c>
      <c r="C14" t="s">
        <v>35</v>
      </c>
    </row>
    <row r="15" spans="1:3" x14ac:dyDescent="0.3">
      <c r="A15" t="s">
        <v>20</v>
      </c>
      <c r="B15">
        <v>19.36</v>
      </c>
      <c r="C15" t="s">
        <v>33</v>
      </c>
    </row>
    <row r="16" spans="1:3" x14ac:dyDescent="0.3">
      <c r="A16" t="s">
        <v>23</v>
      </c>
      <c r="B16">
        <v>15.29</v>
      </c>
      <c r="C16" t="s">
        <v>33</v>
      </c>
    </row>
    <row r="17" spans="1:3" x14ac:dyDescent="0.3">
      <c r="A17" t="s">
        <v>38</v>
      </c>
      <c r="B17">
        <v>26.43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1.1299999999999999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17</v>
      </c>
      <c r="C24" t="s">
        <v>12</v>
      </c>
    </row>
    <row r="25" spans="1:3" x14ac:dyDescent="0.3">
      <c r="A25" t="s">
        <v>47</v>
      </c>
      <c r="B25">
        <v>5479.94</v>
      </c>
      <c r="C25" t="s">
        <v>48</v>
      </c>
    </row>
    <row r="26" spans="1:3" x14ac:dyDescent="0.3">
      <c r="A26" t="s">
        <v>49</v>
      </c>
      <c r="B26">
        <v>1692.08</v>
      </c>
      <c r="C26" t="s">
        <v>48</v>
      </c>
    </row>
    <row r="27" spans="1:3" x14ac:dyDescent="0.3">
      <c r="A27" t="s">
        <v>50</v>
      </c>
      <c r="B27">
        <v>1670.93</v>
      </c>
      <c r="C27" t="s">
        <v>48</v>
      </c>
    </row>
    <row r="28" spans="1:3" x14ac:dyDescent="0.3">
      <c r="A28" t="s">
        <v>52</v>
      </c>
      <c r="B28">
        <v>1320.86</v>
      </c>
      <c r="C28" t="s">
        <v>48</v>
      </c>
    </row>
    <row r="29" spans="1:3" x14ac:dyDescent="0.3">
      <c r="A29" t="s">
        <v>51</v>
      </c>
      <c r="B29">
        <v>796.07</v>
      </c>
      <c r="C29" t="s">
        <v>48</v>
      </c>
    </row>
    <row r="30" spans="1:3" x14ac:dyDescent="0.3">
      <c r="A30" t="s">
        <v>53</v>
      </c>
      <c r="B30">
        <v>974.96</v>
      </c>
      <c r="C30" t="s">
        <v>46</v>
      </c>
    </row>
    <row r="31" spans="1:3" x14ac:dyDescent="0.3">
      <c r="A31" t="s">
        <v>54</v>
      </c>
      <c r="B31">
        <v>7988</v>
      </c>
      <c r="C31" t="s">
        <v>46</v>
      </c>
    </row>
    <row r="32" spans="1:3" x14ac:dyDescent="0.3">
      <c r="A32" t="s">
        <v>55</v>
      </c>
      <c r="B32">
        <v>5393</v>
      </c>
      <c r="C32" t="s">
        <v>46</v>
      </c>
    </row>
    <row r="33" spans="1:3" x14ac:dyDescent="0.3">
      <c r="A33" t="s">
        <v>56</v>
      </c>
      <c r="B33">
        <v>94.41</v>
      </c>
      <c r="C33" t="s">
        <v>46</v>
      </c>
    </row>
    <row r="34" spans="1:3" x14ac:dyDescent="0.3">
      <c r="A34" t="s">
        <v>57</v>
      </c>
      <c r="B34">
        <v>1870.73</v>
      </c>
      <c r="C34" t="s">
        <v>58</v>
      </c>
    </row>
    <row r="35" spans="1:3" x14ac:dyDescent="0.3">
      <c r="A35" t="s">
        <v>59</v>
      </c>
      <c r="B35">
        <v>26.04</v>
      </c>
      <c r="C35" t="s">
        <v>46</v>
      </c>
    </row>
    <row r="36" spans="1:3" x14ac:dyDescent="0.3">
      <c r="A36" t="s">
        <v>60</v>
      </c>
      <c r="B36">
        <v>10.88</v>
      </c>
      <c r="C36" t="s">
        <v>33</v>
      </c>
    </row>
    <row r="37" spans="1:3" x14ac:dyDescent="0.3">
      <c r="A37" t="s">
        <v>61</v>
      </c>
      <c r="B37">
        <v>364.9</v>
      </c>
      <c r="C37" t="s">
        <v>46</v>
      </c>
    </row>
    <row r="38" spans="1:3" x14ac:dyDescent="0.3">
      <c r="A38" t="s">
        <v>62</v>
      </c>
      <c r="B38">
        <v>1149</v>
      </c>
      <c r="C38" t="s">
        <v>46</v>
      </c>
    </row>
    <row r="39" spans="1:3" x14ac:dyDescent="0.3">
      <c r="A39" t="s">
        <v>63</v>
      </c>
      <c r="B39">
        <v>22.85</v>
      </c>
      <c r="C39" t="s">
        <v>46</v>
      </c>
    </row>
    <row r="40" spans="1:3" x14ac:dyDescent="0.3">
      <c r="A40" t="s">
        <v>64</v>
      </c>
      <c r="B40">
        <v>35.18</v>
      </c>
      <c r="C40" t="s">
        <v>46</v>
      </c>
    </row>
    <row r="41" spans="1:3" x14ac:dyDescent="0.3">
      <c r="A41" t="s">
        <v>65</v>
      </c>
      <c r="B41">
        <v>274.63</v>
      </c>
      <c r="C41" t="s">
        <v>46</v>
      </c>
    </row>
    <row r="42" spans="1:3" x14ac:dyDescent="0.3">
      <c r="A42" t="s">
        <v>82</v>
      </c>
      <c r="B42">
        <v>8</v>
      </c>
      <c r="C42" t="s">
        <v>35</v>
      </c>
    </row>
    <row r="43" spans="1:3" x14ac:dyDescent="0.3">
      <c r="A43" t="s">
        <v>83</v>
      </c>
      <c r="B43">
        <v>6.98</v>
      </c>
      <c r="C43" t="s">
        <v>35</v>
      </c>
    </row>
    <row r="44" spans="1:3" x14ac:dyDescent="0.3">
      <c r="A44" t="s">
        <v>66</v>
      </c>
      <c r="B44">
        <v>157.97999999999999</v>
      </c>
      <c r="C44" t="s">
        <v>46</v>
      </c>
    </row>
    <row r="45" spans="1:3" x14ac:dyDescent="0.3">
      <c r="A45" t="s">
        <v>67</v>
      </c>
      <c r="B45">
        <v>106.73</v>
      </c>
      <c r="C45" t="s">
        <v>46</v>
      </c>
    </row>
    <row r="46" spans="1:3" x14ac:dyDescent="0.3">
      <c r="A46" t="s">
        <v>68</v>
      </c>
      <c r="B46">
        <v>128.43</v>
      </c>
      <c r="C46" t="s">
        <v>46</v>
      </c>
    </row>
    <row r="47" spans="1:3" x14ac:dyDescent="0.3">
      <c r="A47" t="s">
        <v>39</v>
      </c>
      <c r="B47" t="s">
        <v>69</v>
      </c>
    </row>
    <row r="48" spans="1:3" x14ac:dyDescent="0.3">
      <c r="A48" t="s">
        <v>70</v>
      </c>
      <c r="B48">
        <v>15</v>
      </c>
      <c r="C48" t="s">
        <v>12</v>
      </c>
    </row>
    <row r="49" spans="1:3" x14ac:dyDescent="0.3">
      <c r="A49" t="s">
        <v>72</v>
      </c>
      <c r="B49">
        <v>7988</v>
      </c>
      <c r="C49" t="s">
        <v>46</v>
      </c>
    </row>
    <row r="50" spans="1:3" x14ac:dyDescent="0.3">
      <c r="A50" t="s">
        <v>71</v>
      </c>
      <c r="B50">
        <v>5393</v>
      </c>
      <c r="C50" t="s">
        <v>46</v>
      </c>
    </row>
    <row r="51" spans="1:3" x14ac:dyDescent="0.3">
      <c r="A51" t="s">
        <v>73</v>
      </c>
      <c r="B51">
        <v>1967</v>
      </c>
      <c r="C51" t="s">
        <v>46</v>
      </c>
    </row>
    <row r="52" spans="1:3" x14ac:dyDescent="0.3">
      <c r="A52" t="s">
        <v>76</v>
      </c>
      <c r="B52">
        <v>1370</v>
      </c>
      <c r="C52" t="s">
        <v>46</v>
      </c>
    </row>
    <row r="53" spans="1:3" x14ac:dyDescent="0.3">
      <c r="A53" t="s">
        <v>74</v>
      </c>
      <c r="B53">
        <v>1149</v>
      </c>
      <c r="C53" t="s">
        <v>46</v>
      </c>
    </row>
    <row r="54" spans="1:3" x14ac:dyDescent="0.3">
      <c r="A54" t="s">
        <v>75</v>
      </c>
      <c r="B54">
        <v>818.01</v>
      </c>
      <c r="C54" t="s">
        <v>46</v>
      </c>
    </row>
    <row r="55" spans="1:3" x14ac:dyDescent="0.3">
      <c r="A55" t="s">
        <v>77</v>
      </c>
      <c r="B55">
        <v>94.41</v>
      </c>
      <c r="C55" t="s">
        <v>46</v>
      </c>
    </row>
    <row r="56" spans="1:3" x14ac:dyDescent="0.3">
      <c r="A56" t="s">
        <v>79</v>
      </c>
      <c r="B56">
        <v>5479.94</v>
      </c>
      <c r="C56" t="s">
        <v>48</v>
      </c>
    </row>
    <row r="57" spans="1:3" x14ac:dyDescent="0.3">
      <c r="A57" t="s">
        <v>78</v>
      </c>
    </row>
    <row r="58" spans="1:3" x14ac:dyDescent="0.3">
      <c r="A58" t="s">
        <v>29</v>
      </c>
    </row>
    <row r="59" spans="1:3" x14ac:dyDescent="0.3">
      <c r="A59" t="s">
        <v>28</v>
      </c>
    </row>
    <row r="60" spans="1:3" x14ac:dyDescent="0.3">
      <c r="A60" t="s">
        <v>30</v>
      </c>
      <c r="B60">
        <v>0.26</v>
      </c>
      <c r="C60" t="s">
        <v>5</v>
      </c>
    </row>
    <row r="61" spans="1:3" x14ac:dyDescent="0.3">
      <c r="A61" t="s">
        <v>18</v>
      </c>
      <c r="B61">
        <v>0.27</v>
      </c>
      <c r="C61" t="s">
        <v>5</v>
      </c>
    </row>
    <row r="62" spans="1:3" x14ac:dyDescent="0.3">
      <c r="A62" t="s">
        <v>31</v>
      </c>
      <c r="B62">
        <v>0</v>
      </c>
      <c r="C62" t="s">
        <v>5</v>
      </c>
    </row>
    <row r="63" spans="1:3" x14ac:dyDescent="0.3">
      <c r="A63" t="s">
        <v>32</v>
      </c>
      <c r="B63">
        <v>11.32</v>
      </c>
      <c r="C63" t="s">
        <v>33</v>
      </c>
    </row>
    <row r="64" spans="1:3" x14ac:dyDescent="0.3">
      <c r="A64" t="s">
        <v>34</v>
      </c>
      <c r="B64">
        <v>64.040000000000006</v>
      </c>
      <c r="C64" t="s">
        <v>33</v>
      </c>
    </row>
    <row r="65" spans="1:3" x14ac:dyDescent="0.3">
      <c r="A65" t="s">
        <v>21</v>
      </c>
      <c r="B65">
        <v>0.14000000000000001</v>
      </c>
      <c r="C65" t="s">
        <v>35</v>
      </c>
    </row>
    <row r="66" spans="1:3" x14ac:dyDescent="0.3">
      <c r="A66" t="s">
        <v>36</v>
      </c>
      <c r="B66">
        <v>18.28</v>
      </c>
      <c r="C66" t="s">
        <v>33</v>
      </c>
    </row>
    <row r="67" spans="1:3" x14ac:dyDescent="0.3">
      <c r="A67" t="s">
        <v>37</v>
      </c>
      <c r="B67">
        <v>12.41</v>
      </c>
      <c r="C67" t="s">
        <v>33</v>
      </c>
    </row>
    <row r="68" spans="1:3" x14ac:dyDescent="0.3">
      <c r="A68" t="s">
        <v>22</v>
      </c>
      <c r="B68">
        <v>0.49</v>
      </c>
      <c r="C68" t="s">
        <v>35</v>
      </c>
    </row>
    <row r="69" spans="1:3" x14ac:dyDescent="0.3">
      <c r="A69" t="s">
        <v>19</v>
      </c>
      <c r="B69">
        <v>49.5</v>
      </c>
      <c r="C69" t="s">
        <v>33</v>
      </c>
    </row>
    <row r="70" spans="1:3" x14ac:dyDescent="0.3">
      <c r="A70" t="s">
        <v>20</v>
      </c>
      <c r="B70">
        <v>4.3499999999999996</v>
      </c>
      <c r="C70" t="s">
        <v>33</v>
      </c>
    </row>
    <row r="71" spans="1:3" x14ac:dyDescent="0.3">
      <c r="A71" t="s">
        <v>23</v>
      </c>
      <c r="B71">
        <v>0.89</v>
      </c>
      <c r="C71" t="s">
        <v>33</v>
      </c>
    </row>
    <row r="72" spans="1:3" x14ac:dyDescent="0.3">
      <c r="A72" t="s">
        <v>38</v>
      </c>
      <c r="B72">
        <v>2.23</v>
      </c>
      <c r="C72" t="s">
        <v>33</v>
      </c>
    </row>
    <row r="73" spans="1:3" x14ac:dyDescent="0.3">
      <c r="A73" t="s">
        <v>39</v>
      </c>
    </row>
    <row r="74" spans="1:3" x14ac:dyDescent="0.3">
      <c r="A74" t="s">
        <v>41</v>
      </c>
      <c r="B74">
        <v>0.27</v>
      </c>
      <c r="C74" t="s">
        <v>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4206-CC1F-473A-841C-386EE3132BF3}">
  <sheetPr codeName="Sheet5"/>
  <dimension ref="A1:C72"/>
  <sheetViews>
    <sheetView workbookViewId="0">
      <selection activeCell="L20" sqref="L20"/>
    </sheetView>
  </sheetViews>
  <sheetFormatPr defaultRowHeight="14.4" x14ac:dyDescent="0.3"/>
  <sheetData>
    <row r="1" spans="1:3" x14ac:dyDescent="0.3">
      <c r="A1" t="s">
        <v>80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0.46</v>
      </c>
      <c r="C5" t="s">
        <v>5</v>
      </c>
    </row>
    <row r="6" spans="1:3" x14ac:dyDescent="0.3">
      <c r="A6" t="s">
        <v>18</v>
      </c>
      <c r="B6">
        <v>0.46</v>
      </c>
      <c r="C6" t="s">
        <v>5</v>
      </c>
    </row>
    <row r="7" spans="1:3" x14ac:dyDescent="0.3">
      <c r="A7" t="s">
        <v>31</v>
      </c>
      <c r="B7" s="2">
        <v>-8.0400000000000003E-4</v>
      </c>
      <c r="C7" t="s">
        <v>5</v>
      </c>
    </row>
    <row r="8" spans="1:3" x14ac:dyDescent="0.3">
      <c r="A8" t="s">
        <v>32</v>
      </c>
      <c r="B8">
        <v>56.43</v>
      </c>
      <c r="C8" t="s">
        <v>33</v>
      </c>
    </row>
    <row r="9" spans="1:3" x14ac:dyDescent="0.3">
      <c r="A9" t="s">
        <v>34</v>
      </c>
      <c r="B9">
        <v>0.18</v>
      </c>
      <c r="C9" t="s">
        <v>35</v>
      </c>
    </row>
    <row r="10" spans="1:3" x14ac:dyDescent="0.3">
      <c r="A10" t="s">
        <v>21</v>
      </c>
      <c r="B10">
        <v>1.07</v>
      </c>
      <c r="C10" t="s">
        <v>35</v>
      </c>
    </row>
    <row r="11" spans="1:3" x14ac:dyDescent="0.3">
      <c r="A11" t="s">
        <v>36</v>
      </c>
      <c r="B11">
        <v>0.16</v>
      </c>
      <c r="C11" t="s">
        <v>35</v>
      </c>
    </row>
    <row r="12" spans="1:3" x14ac:dyDescent="0.3">
      <c r="A12" t="s">
        <v>37</v>
      </c>
      <c r="B12">
        <v>83.16</v>
      </c>
      <c r="C12" t="s">
        <v>33</v>
      </c>
    </row>
    <row r="13" spans="1:3" x14ac:dyDescent="0.3">
      <c r="A13" t="s">
        <v>22</v>
      </c>
      <c r="B13">
        <v>12.14</v>
      </c>
      <c r="C13" t="s">
        <v>35</v>
      </c>
    </row>
    <row r="14" spans="1:3" x14ac:dyDescent="0.3">
      <c r="A14" t="s">
        <v>19</v>
      </c>
      <c r="B14">
        <v>0.84</v>
      </c>
      <c r="C14" t="s">
        <v>35</v>
      </c>
    </row>
    <row r="15" spans="1:3" x14ac:dyDescent="0.3">
      <c r="A15" t="s">
        <v>20</v>
      </c>
      <c r="B15">
        <v>9.24</v>
      </c>
      <c r="C15" t="s">
        <v>33</v>
      </c>
    </row>
    <row r="16" spans="1:3" x14ac:dyDescent="0.3">
      <c r="A16" t="s">
        <v>23</v>
      </c>
      <c r="B16">
        <v>7.01</v>
      </c>
      <c r="C16" t="s">
        <v>33</v>
      </c>
    </row>
    <row r="17" spans="1:3" x14ac:dyDescent="0.3">
      <c r="A17" t="s">
        <v>38</v>
      </c>
      <c r="B17">
        <v>11.97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0.49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6158</v>
      </c>
      <c r="C24" t="s">
        <v>46</v>
      </c>
    </row>
    <row r="25" spans="1:3" x14ac:dyDescent="0.3">
      <c r="A25" t="s">
        <v>47</v>
      </c>
      <c r="B25">
        <v>718.64</v>
      </c>
      <c r="C25" t="s">
        <v>48</v>
      </c>
    </row>
    <row r="26" spans="1:3" x14ac:dyDescent="0.3">
      <c r="A26" t="s">
        <v>51</v>
      </c>
      <c r="B26">
        <v>258.05</v>
      </c>
      <c r="C26" t="s">
        <v>48</v>
      </c>
    </row>
    <row r="27" spans="1:3" x14ac:dyDescent="0.3">
      <c r="A27" t="s">
        <v>49</v>
      </c>
      <c r="B27">
        <v>156.38</v>
      </c>
      <c r="C27" t="s">
        <v>48</v>
      </c>
    </row>
    <row r="28" spans="1:3" x14ac:dyDescent="0.3">
      <c r="A28" t="s">
        <v>50</v>
      </c>
      <c r="B28">
        <v>154.74</v>
      </c>
      <c r="C28" t="s">
        <v>48</v>
      </c>
    </row>
    <row r="29" spans="1:3" x14ac:dyDescent="0.3">
      <c r="A29" t="s">
        <v>52</v>
      </c>
      <c r="B29">
        <v>149.47</v>
      </c>
      <c r="C29" t="s">
        <v>48</v>
      </c>
    </row>
    <row r="30" spans="1:3" x14ac:dyDescent="0.3">
      <c r="A30" t="s">
        <v>53</v>
      </c>
      <c r="B30">
        <v>3057</v>
      </c>
      <c r="C30" t="s">
        <v>46</v>
      </c>
    </row>
    <row r="31" spans="1:3" x14ac:dyDescent="0.3">
      <c r="A31" t="s">
        <v>54</v>
      </c>
      <c r="B31">
        <v>1184</v>
      </c>
      <c r="C31" t="s">
        <v>46</v>
      </c>
    </row>
    <row r="32" spans="1:3" x14ac:dyDescent="0.3">
      <c r="A32" t="s">
        <v>55</v>
      </c>
      <c r="B32">
        <v>495.75</v>
      </c>
      <c r="C32" t="s">
        <v>46</v>
      </c>
    </row>
    <row r="33" spans="1:3" x14ac:dyDescent="0.3">
      <c r="A33" t="s">
        <v>56</v>
      </c>
      <c r="B33">
        <v>8760.19</v>
      </c>
      <c r="C33" t="s">
        <v>58</v>
      </c>
    </row>
    <row r="34" spans="1:3" x14ac:dyDescent="0.3">
      <c r="A34" t="s">
        <v>57</v>
      </c>
      <c r="B34">
        <v>5865.69</v>
      </c>
      <c r="C34" t="s">
        <v>58</v>
      </c>
    </row>
    <row r="35" spans="1:3" x14ac:dyDescent="0.3">
      <c r="A35" t="s">
        <v>59</v>
      </c>
      <c r="B35">
        <v>2416.14</v>
      </c>
      <c r="C35" t="s">
        <v>58</v>
      </c>
    </row>
    <row r="36" spans="1:3" x14ac:dyDescent="0.3">
      <c r="A36" t="s">
        <v>60</v>
      </c>
      <c r="B36">
        <v>1.01</v>
      </c>
      <c r="C36" t="s">
        <v>33</v>
      </c>
    </row>
    <row r="37" spans="1:3" x14ac:dyDescent="0.3">
      <c r="A37" t="s">
        <v>61</v>
      </c>
      <c r="B37">
        <v>33.72</v>
      </c>
      <c r="C37" t="s">
        <v>46</v>
      </c>
    </row>
    <row r="38" spans="1:3" x14ac:dyDescent="0.3">
      <c r="A38" t="s">
        <v>62</v>
      </c>
      <c r="B38">
        <v>106.58</v>
      </c>
      <c r="C38" t="s">
        <v>46</v>
      </c>
    </row>
    <row r="39" spans="1:3" x14ac:dyDescent="0.3">
      <c r="A39" t="s">
        <v>63</v>
      </c>
      <c r="B39">
        <v>2120.25</v>
      </c>
      <c r="C39" t="s">
        <v>58</v>
      </c>
    </row>
    <row r="40" spans="1:3" x14ac:dyDescent="0.3">
      <c r="A40" t="s">
        <v>64</v>
      </c>
      <c r="B40">
        <v>3264.4</v>
      </c>
      <c r="C40" t="s">
        <v>58</v>
      </c>
    </row>
    <row r="41" spans="1:3" x14ac:dyDescent="0.3">
      <c r="A41" t="s">
        <v>65</v>
      </c>
      <c r="B41">
        <v>25.48</v>
      </c>
      <c r="C41" t="s">
        <v>46</v>
      </c>
    </row>
    <row r="42" spans="1:3" x14ac:dyDescent="0.3">
      <c r="A42" t="s">
        <v>66</v>
      </c>
      <c r="B42">
        <v>495.34</v>
      </c>
      <c r="C42" t="s">
        <v>46</v>
      </c>
    </row>
    <row r="43" spans="1:3" x14ac:dyDescent="0.3">
      <c r="A43" t="s">
        <v>67</v>
      </c>
      <c r="B43">
        <v>334.67</v>
      </c>
      <c r="C43" t="s">
        <v>46</v>
      </c>
    </row>
    <row r="44" spans="1:3" x14ac:dyDescent="0.3">
      <c r="A44" t="s">
        <v>68</v>
      </c>
      <c r="B44">
        <v>402.68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5975</v>
      </c>
      <c r="C46" t="s">
        <v>46</v>
      </c>
    </row>
    <row r="47" spans="1:3" x14ac:dyDescent="0.3">
      <c r="A47" t="s">
        <v>76</v>
      </c>
      <c r="B47">
        <v>4295</v>
      </c>
      <c r="C47" t="s">
        <v>46</v>
      </c>
    </row>
    <row r="48" spans="1:3" x14ac:dyDescent="0.3">
      <c r="A48" t="s">
        <v>72</v>
      </c>
      <c r="B48">
        <v>1184</v>
      </c>
      <c r="C48" t="s">
        <v>46</v>
      </c>
    </row>
    <row r="49" spans="1:3" x14ac:dyDescent="0.3">
      <c r="A49" t="s">
        <v>71</v>
      </c>
      <c r="B49">
        <v>495.75</v>
      </c>
      <c r="C49" t="s">
        <v>46</v>
      </c>
    </row>
    <row r="50" spans="1:3" x14ac:dyDescent="0.3">
      <c r="A50" t="s">
        <v>73</v>
      </c>
      <c r="B50">
        <v>182.34</v>
      </c>
      <c r="C50" t="s">
        <v>46</v>
      </c>
    </row>
    <row r="51" spans="1:3" x14ac:dyDescent="0.3">
      <c r="A51" t="s">
        <v>74</v>
      </c>
      <c r="B51">
        <v>106.58</v>
      </c>
      <c r="C51" t="s">
        <v>46</v>
      </c>
    </row>
    <row r="52" spans="1:3" x14ac:dyDescent="0.3">
      <c r="A52" t="s">
        <v>75</v>
      </c>
      <c r="B52">
        <v>75.77</v>
      </c>
      <c r="C52" t="s">
        <v>46</v>
      </c>
    </row>
    <row r="53" spans="1:3" x14ac:dyDescent="0.3">
      <c r="A53" t="s">
        <v>77</v>
      </c>
      <c r="B53">
        <v>8760.19</v>
      </c>
      <c r="C53" t="s">
        <v>58</v>
      </c>
    </row>
    <row r="54" spans="1:3" x14ac:dyDescent="0.3">
      <c r="A54" t="s">
        <v>79</v>
      </c>
      <c r="B54">
        <v>718.64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35.85</v>
      </c>
      <c r="C58" t="s">
        <v>35</v>
      </c>
    </row>
    <row r="59" spans="1:3" x14ac:dyDescent="0.3">
      <c r="A59" t="s">
        <v>18</v>
      </c>
      <c r="B59">
        <v>36.04</v>
      </c>
      <c r="C59" t="s">
        <v>35</v>
      </c>
    </row>
    <row r="60" spans="1:3" x14ac:dyDescent="0.3">
      <c r="A60" t="s">
        <v>31</v>
      </c>
      <c r="B60" s="2">
        <v>-1.84E-4</v>
      </c>
      <c r="C60" t="s">
        <v>5</v>
      </c>
    </row>
    <row r="61" spans="1:3" x14ac:dyDescent="0.3">
      <c r="A61" t="s">
        <v>32</v>
      </c>
      <c r="B61">
        <v>7.56</v>
      </c>
      <c r="C61" t="s">
        <v>33</v>
      </c>
    </row>
    <row r="62" spans="1:3" x14ac:dyDescent="0.3">
      <c r="A62" t="s">
        <v>34</v>
      </c>
      <c r="B62">
        <v>12.8</v>
      </c>
      <c r="C62" t="s">
        <v>33</v>
      </c>
    </row>
    <row r="63" spans="1:3" x14ac:dyDescent="0.3">
      <c r="A63" t="s">
        <v>21</v>
      </c>
      <c r="B63">
        <v>34</v>
      </c>
      <c r="C63" t="s">
        <v>33</v>
      </c>
    </row>
    <row r="64" spans="1:3" x14ac:dyDescent="0.3">
      <c r="A64" t="s">
        <v>36</v>
      </c>
      <c r="B64">
        <v>3.84</v>
      </c>
      <c r="C64" t="s">
        <v>33</v>
      </c>
    </row>
    <row r="65" spans="1:3" x14ac:dyDescent="0.3">
      <c r="A65" t="s">
        <v>37</v>
      </c>
      <c r="B65">
        <v>2.97</v>
      </c>
      <c r="C65" t="s">
        <v>33</v>
      </c>
    </row>
    <row r="66" spans="1:3" x14ac:dyDescent="0.3">
      <c r="A66" t="s">
        <v>22</v>
      </c>
      <c r="B66">
        <v>57.3</v>
      </c>
      <c r="C66" t="s">
        <v>33</v>
      </c>
    </row>
    <row r="67" spans="1:3" x14ac:dyDescent="0.3">
      <c r="A67" t="s">
        <v>19</v>
      </c>
      <c r="B67">
        <v>18.84</v>
      </c>
      <c r="C67" t="s">
        <v>33</v>
      </c>
    </row>
    <row r="68" spans="1:3" x14ac:dyDescent="0.3">
      <c r="A68" t="s">
        <v>20</v>
      </c>
      <c r="B68">
        <v>0.56999999999999995</v>
      </c>
      <c r="C68" t="s">
        <v>33</v>
      </c>
    </row>
    <row r="69" spans="1:3" x14ac:dyDescent="0.3">
      <c r="A69" t="s">
        <v>23</v>
      </c>
      <c r="B69">
        <v>0.31</v>
      </c>
      <c r="C69" t="s">
        <v>33</v>
      </c>
    </row>
    <row r="70" spans="1:3" x14ac:dyDescent="0.3">
      <c r="A70" t="s">
        <v>38</v>
      </c>
      <c r="B70">
        <v>0.71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36.61</v>
      </c>
      <c r="C7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67E3-E5A8-4EA7-811F-59A92D2FDE57}">
  <sheetPr codeName="Sheet74"/>
  <dimension ref="A1:H9"/>
  <sheetViews>
    <sheetView workbookViewId="0"/>
  </sheetViews>
  <sheetFormatPr defaultRowHeight="14.4" x14ac:dyDescent="0.3"/>
  <cols>
    <col min="1" max="1" width="20.5546875" customWidth="1"/>
    <col min="2" max="4" width="12" bestFit="1" customWidth="1"/>
    <col min="5" max="5" width="12.77734375" customWidth="1"/>
    <col min="6" max="7" width="12" bestFit="1" customWidth="1"/>
    <col min="8" max="8" width="11" bestFit="1" customWidth="1"/>
    <col min="9" max="9" width="10" bestFit="1" customWidth="1"/>
    <col min="10" max="10" width="12" bestFit="1" customWidth="1"/>
    <col min="11" max="11" width="10" bestFit="1" customWidth="1"/>
    <col min="12" max="12" width="11" bestFit="1" customWidth="1"/>
  </cols>
  <sheetData>
    <row r="1" spans="1:8" x14ac:dyDescent="0.3">
      <c r="A1" t="s">
        <v>635</v>
      </c>
    </row>
    <row r="2" spans="1:8" x14ac:dyDescent="0.3">
      <c r="A2" t="s">
        <v>581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636</v>
      </c>
      <c r="B3" s="2">
        <f>BreadWheat_results!B9*Wheat_flour_Simapro!$B$42</f>
        <v>0.18914103033074225</v>
      </c>
      <c r="C3" s="2">
        <f>BreadWheat_results!C9*Wheat_flour_Simapro!$B$42</f>
        <v>5.4264288980338362E-4</v>
      </c>
      <c r="D3" s="2">
        <f>BreadWheat_results!D9*Wheat_flour_Simapro!$B$42</f>
        <v>7.1042819692120103E-5</v>
      </c>
      <c r="E3" s="2">
        <f>BreadWheat_results!E9*Wheat_flour_Simapro!$B$42</f>
        <v>3.6046672306050908E-4</v>
      </c>
      <c r="F3" s="2">
        <f>BreadWheat_results!F9*Wheat_flour_Simapro!$B$42</f>
        <v>8.8512518670934293E-4</v>
      </c>
      <c r="G3" s="2">
        <f>BreadWheat_results!G9*Wheat_flour_Simapro!$B$42</f>
        <v>2.7038957475994511E-6</v>
      </c>
      <c r="H3" s="2">
        <f>BreadWheat_results!H9*Wheat_flour_Simapro!$B$42</f>
        <v>6.5415942691662857E-6</v>
      </c>
    </row>
    <row r="4" spans="1:8" x14ac:dyDescent="0.3">
      <c r="A4" t="s">
        <v>637</v>
      </c>
      <c r="B4" s="2">
        <f>Wheat_flour_Simapro!$B$44*Tapwater_results!B10</f>
        <v>2.2590970620700007E-5</v>
      </c>
      <c r="C4" s="2">
        <f>Wheat_flour_Simapro!$B$44*Tapwater_results!C10</f>
        <v>4.3223349950599995E-8</v>
      </c>
      <c r="D4" s="2">
        <f>Wheat_flour_Simapro!$B$44*Tapwater_results!D10</f>
        <v>3.7733900716629997E-10</v>
      </c>
      <c r="E4" s="2">
        <f>Wheat_flour_Simapro!$B$44*Tapwater_results!E10</f>
        <v>1.61764884287E-8</v>
      </c>
      <c r="F4" s="2">
        <f>Wheat_flour_Simapro!$B$44*Tapwater_results!F10</f>
        <v>4.1439772592487985E-8</v>
      </c>
      <c r="G4" s="2">
        <f>Wheat_flour_Simapro!$B$44*Tapwater_results!G10</f>
        <v>1.0508496309949997E-10</v>
      </c>
      <c r="H4" s="2">
        <f>Wheat_flour_Simapro!$B$44*Tapwater_results!H10</f>
        <v>2.32389074056E-10</v>
      </c>
    </row>
    <row r="5" spans="1:8" x14ac:dyDescent="0.3">
      <c r="A5" t="s">
        <v>638</v>
      </c>
      <c r="B5" s="2">
        <f>Wheat_flour_Simapro!B45*10^-6*Plastics_mix_GREET!B5</f>
        <v>1.2759999999999998E-4</v>
      </c>
      <c r="C5" s="2">
        <f>Wheat_flour_Simapro!B45*10^-6*Plastics_mix_GREET!B14*10^-3</f>
        <v>9.2239999999999984E-7</v>
      </c>
      <c r="D5" s="2">
        <f>Wheat_flour_Simapro!B45*10^-6*Plastics_mix_GREET!B15*10^-3</f>
        <v>9.9999999999999986E-9</v>
      </c>
      <c r="E5" s="2">
        <f>Wheat_flour_Simapro!B45*10^-6*Plastics_mix_GREET!B10*10^-3</f>
        <v>2.096E-7</v>
      </c>
      <c r="F5" s="2">
        <f>Wheat_flour_Simapro!B45*10^-6*Plastics_mix_GREET!B13*10^-3</f>
        <v>7.1159999999999999E-7</v>
      </c>
      <c r="G5" s="2">
        <f>Wheat_flour_Simapro!B45*10^-6*Plastics_mix_GREET!B16*10^-6</f>
        <v>1.6279999999999998E-9</v>
      </c>
      <c r="H5" s="2">
        <f>Wheat_flour_Simapro!B45*10^-6*Plastics_mix_GREET!B17*10^-6</f>
        <v>2.4723999999999999E-9</v>
      </c>
    </row>
    <row r="6" spans="1:8" x14ac:dyDescent="0.3">
      <c r="A6" t="s">
        <v>89</v>
      </c>
      <c r="B6" s="2">
        <f>Wheat_flour_Simapro!$B$43*'HD Truck_GREET'!B5</f>
        <v>4.6190000000000001E-4</v>
      </c>
      <c r="C6" s="2">
        <f>Wheat_flour_Simapro!$B$43*'HD Truck_GREET'!C5</f>
        <v>1.8200000000000001E-8</v>
      </c>
      <c r="D6" s="2">
        <f>Wheat_flour_Simapro!$B$43*'HD Truck_GREET'!D5</f>
        <v>7.4510000000000015E-10</v>
      </c>
      <c r="E6" s="2">
        <f>Wheat_flour_Simapro!$B$43*'HD Truck_GREET'!E5</f>
        <v>4.299E-7</v>
      </c>
      <c r="F6" s="2">
        <f>Wheat_flour_Simapro!$B$43*'HD Truck_GREET'!F5</f>
        <v>4.4164239512195132E-9</v>
      </c>
      <c r="G6" s="2">
        <f>Wheat_flour_Simapro!$B$43*'HD Truck_GREET'!G5</f>
        <v>7.935000000000001E-10</v>
      </c>
      <c r="H6" s="2">
        <f>Wheat_flour_Simapro!$B$43*'HD Truck_GREET'!H5</f>
        <v>1.4000000000000001E-9</v>
      </c>
    </row>
    <row r="7" spans="1:8" x14ac:dyDescent="0.3">
      <c r="A7" t="s">
        <v>453</v>
      </c>
      <c r="B7" s="2">
        <f>SUM(B3:B6)</f>
        <v>0.18975312130136296</v>
      </c>
      <c r="C7" s="2">
        <f t="shared" ref="C7:H7" si="0">SUM(C3:C6)</f>
        <v>5.4362671315333431E-4</v>
      </c>
      <c r="D7" s="2">
        <f t="shared" si="0"/>
        <v>7.1053942131127262E-5</v>
      </c>
      <c r="E7" s="2">
        <f t="shared" si="0"/>
        <v>3.6112239954893784E-4</v>
      </c>
      <c r="F7" s="2">
        <f t="shared" si="0"/>
        <v>8.8588264290588668E-4</v>
      </c>
      <c r="G7" s="2">
        <f t="shared" si="0"/>
        <v>2.7064223325625507E-6</v>
      </c>
      <c r="H7" s="2">
        <f t="shared" si="0"/>
        <v>6.5456990582403418E-6</v>
      </c>
    </row>
    <row r="8" spans="1:8" x14ac:dyDescent="0.3">
      <c r="B8" s="2"/>
    </row>
    <row r="9" spans="1:8" x14ac:dyDescent="0.3">
      <c r="B9" s="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9D66-8040-438F-BE5D-9D372DE48C3D}">
  <sheetPr codeName="Sheet13"/>
  <dimension ref="B1:R35"/>
  <sheetViews>
    <sheetView workbookViewId="0">
      <selection activeCell="I11" sqref="I11"/>
    </sheetView>
  </sheetViews>
  <sheetFormatPr defaultRowHeight="14.4" x14ac:dyDescent="0.3"/>
  <cols>
    <col min="17" max="17" width="11" bestFit="1" customWidth="1"/>
  </cols>
  <sheetData>
    <row r="1" spans="2:18" x14ac:dyDescent="0.3"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P1" t="s">
        <v>91</v>
      </c>
      <c r="Q1" t="s">
        <v>2</v>
      </c>
      <c r="R1" t="s">
        <v>3</v>
      </c>
    </row>
    <row r="2" spans="2:18" x14ac:dyDescent="0.3">
      <c r="B2" t="s">
        <v>113</v>
      </c>
      <c r="C2" t="s">
        <v>114</v>
      </c>
      <c r="D2" t="s">
        <v>115</v>
      </c>
      <c r="F2" t="s">
        <v>115</v>
      </c>
      <c r="G2" t="s">
        <v>116</v>
      </c>
      <c r="H2" t="s">
        <v>117</v>
      </c>
      <c r="I2" t="s">
        <v>117</v>
      </c>
      <c r="J2" t="s">
        <v>117</v>
      </c>
      <c r="K2" t="s">
        <v>117</v>
      </c>
      <c r="L2" t="s">
        <v>117</v>
      </c>
      <c r="M2" t="s">
        <v>116</v>
      </c>
    </row>
    <row r="3" spans="2:18" x14ac:dyDescent="0.3">
      <c r="B3" t="s">
        <v>70</v>
      </c>
      <c r="C3" t="s">
        <v>118</v>
      </c>
      <c r="D3" t="s">
        <v>117</v>
      </c>
      <c r="F3" t="s">
        <v>117</v>
      </c>
      <c r="G3" t="s">
        <v>118</v>
      </c>
      <c r="H3" t="s">
        <v>117</v>
      </c>
      <c r="I3" t="s">
        <v>117</v>
      </c>
      <c r="J3" t="s">
        <v>117</v>
      </c>
      <c r="K3" t="s">
        <v>117</v>
      </c>
      <c r="L3" t="s">
        <v>117</v>
      </c>
      <c r="M3" t="s">
        <v>118</v>
      </c>
    </row>
    <row r="4" spans="2:18" x14ac:dyDescent="0.3">
      <c r="B4" t="s">
        <v>71</v>
      </c>
      <c r="C4" t="s">
        <v>119</v>
      </c>
      <c r="D4" t="s">
        <v>117</v>
      </c>
      <c r="F4" t="s">
        <v>117</v>
      </c>
      <c r="G4" t="s">
        <v>119</v>
      </c>
      <c r="H4" t="s">
        <v>117</v>
      </c>
      <c r="I4" t="s">
        <v>117</v>
      </c>
      <c r="J4" t="s">
        <v>117</v>
      </c>
      <c r="K4" t="s">
        <v>117</v>
      </c>
      <c r="L4" t="s">
        <v>117</v>
      </c>
      <c r="M4" t="s">
        <v>119</v>
      </c>
    </row>
    <row r="5" spans="2:18" x14ac:dyDescent="0.3">
      <c r="B5" t="s">
        <v>72</v>
      </c>
      <c r="C5" t="s">
        <v>120</v>
      </c>
      <c r="D5" t="s">
        <v>117</v>
      </c>
      <c r="F5" t="s">
        <v>117</v>
      </c>
      <c r="G5" t="s">
        <v>120</v>
      </c>
      <c r="H5" t="s">
        <v>117</v>
      </c>
      <c r="I5" t="s">
        <v>117</v>
      </c>
      <c r="J5" t="s">
        <v>117</v>
      </c>
      <c r="K5" t="s">
        <v>117</v>
      </c>
      <c r="L5" t="s">
        <v>117</v>
      </c>
      <c r="M5" t="s">
        <v>120</v>
      </c>
    </row>
    <row r="6" spans="2:18" x14ac:dyDescent="0.3">
      <c r="B6" t="s">
        <v>76</v>
      </c>
      <c r="C6" t="s">
        <v>121</v>
      </c>
      <c r="D6" t="s">
        <v>117</v>
      </c>
      <c r="F6" t="s">
        <v>117</v>
      </c>
      <c r="G6" t="s">
        <v>121</v>
      </c>
      <c r="H6" t="s">
        <v>117</v>
      </c>
      <c r="I6" t="s">
        <v>117</v>
      </c>
      <c r="J6" t="s">
        <v>117</v>
      </c>
      <c r="K6" t="s">
        <v>117</v>
      </c>
      <c r="L6" t="s">
        <v>117</v>
      </c>
      <c r="M6" t="s">
        <v>121</v>
      </c>
    </row>
    <row r="7" spans="2:18" x14ac:dyDescent="0.3">
      <c r="B7" t="s">
        <v>49</v>
      </c>
      <c r="C7" t="s">
        <v>122</v>
      </c>
      <c r="G7" t="s">
        <v>122</v>
      </c>
      <c r="M7" t="s">
        <v>122</v>
      </c>
    </row>
    <row r="8" spans="2:18" x14ac:dyDescent="0.3">
      <c r="B8" t="s">
        <v>50</v>
      </c>
      <c r="C8" t="s">
        <v>122</v>
      </c>
      <c r="G8" t="s">
        <v>122</v>
      </c>
      <c r="M8" t="s">
        <v>122</v>
      </c>
    </row>
    <row r="9" spans="2:18" x14ac:dyDescent="0.3">
      <c r="B9" t="s">
        <v>51</v>
      </c>
      <c r="C9" t="s">
        <v>123</v>
      </c>
      <c r="G9" t="s">
        <v>123</v>
      </c>
      <c r="M9" t="s">
        <v>123</v>
      </c>
    </row>
    <row r="10" spans="2:18" x14ac:dyDescent="0.3">
      <c r="B10" t="s">
        <v>52</v>
      </c>
      <c r="C10" t="s">
        <v>124</v>
      </c>
      <c r="G10" t="s">
        <v>124</v>
      </c>
      <c r="M10" t="s">
        <v>124</v>
      </c>
    </row>
    <row r="11" spans="2:18" x14ac:dyDescent="0.3">
      <c r="B11" t="s">
        <v>32</v>
      </c>
      <c r="C11" t="s">
        <v>125</v>
      </c>
      <c r="D11" t="s">
        <v>126</v>
      </c>
      <c r="F11" t="s">
        <v>126</v>
      </c>
      <c r="G11" t="s">
        <v>127</v>
      </c>
      <c r="M11" t="s">
        <v>127</v>
      </c>
    </row>
    <row r="12" spans="2:18" x14ac:dyDescent="0.3">
      <c r="B12" t="s">
        <v>34</v>
      </c>
      <c r="C12" t="s">
        <v>128</v>
      </c>
      <c r="D12" t="s">
        <v>129</v>
      </c>
      <c r="F12" t="s">
        <v>129</v>
      </c>
      <c r="G12" t="s">
        <v>130</v>
      </c>
      <c r="M12" t="s">
        <v>130</v>
      </c>
    </row>
    <row r="13" spans="2:18" x14ac:dyDescent="0.3">
      <c r="B13" t="s">
        <v>21</v>
      </c>
      <c r="C13" t="s">
        <v>131</v>
      </c>
      <c r="D13" t="s">
        <v>132</v>
      </c>
      <c r="F13" t="s">
        <v>132</v>
      </c>
      <c r="G13" t="s">
        <v>133</v>
      </c>
      <c r="M13" t="s">
        <v>133</v>
      </c>
      <c r="P13" t="s">
        <v>21</v>
      </c>
      <c r="Q13">
        <f>0.19*10^-3</f>
        <v>1.9000000000000001E-4</v>
      </c>
      <c r="R13" t="s">
        <v>134</v>
      </c>
    </row>
    <row r="14" spans="2:18" x14ac:dyDescent="0.3">
      <c r="B14" t="s">
        <v>36</v>
      </c>
      <c r="C14" t="s">
        <v>135</v>
      </c>
      <c r="D14" t="s">
        <v>136</v>
      </c>
      <c r="F14" t="s">
        <v>136</v>
      </c>
      <c r="G14" t="s">
        <v>137</v>
      </c>
      <c r="M14" t="s">
        <v>137</v>
      </c>
    </row>
    <row r="15" spans="2:18" x14ac:dyDescent="0.3">
      <c r="B15" t="s">
        <v>37</v>
      </c>
      <c r="C15" t="s">
        <v>138</v>
      </c>
      <c r="D15" t="s">
        <v>139</v>
      </c>
      <c r="F15" t="s">
        <v>139</v>
      </c>
      <c r="G15" t="s">
        <v>140</v>
      </c>
      <c r="M15" t="s">
        <v>140</v>
      </c>
      <c r="P15" t="s">
        <v>37</v>
      </c>
      <c r="Q15">
        <f>5.53*10^-6</f>
        <v>5.5300000000000004E-6</v>
      </c>
      <c r="R15" t="s">
        <v>134</v>
      </c>
    </row>
    <row r="16" spans="2:18" x14ac:dyDescent="0.3">
      <c r="B16" t="s">
        <v>22</v>
      </c>
      <c r="C16" t="s">
        <v>141</v>
      </c>
      <c r="D16" t="s">
        <v>142</v>
      </c>
      <c r="F16" t="s">
        <v>142</v>
      </c>
      <c r="G16" t="s">
        <v>141</v>
      </c>
      <c r="M16" t="s">
        <v>141</v>
      </c>
      <c r="P16" t="s">
        <v>22</v>
      </c>
      <c r="Q16">
        <f>3.09*10^-6</f>
        <v>3.0899999999999996E-6</v>
      </c>
      <c r="R16" t="s">
        <v>134</v>
      </c>
    </row>
    <row r="17" spans="2:18" x14ac:dyDescent="0.3">
      <c r="B17" t="s">
        <v>19</v>
      </c>
      <c r="C17" t="s">
        <v>143</v>
      </c>
      <c r="D17" t="s">
        <v>144</v>
      </c>
      <c r="F17" t="s">
        <v>144</v>
      </c>
      <c r="G17" t="s">
        <v>145</v>
      </c>
      <c r="M17" t="s">
        <v>145</v>
      </c>
      <c r="P17" t="s">
        <v>19</v>
      </c>
      <c r="Q17">
        <f>32.73*10^-6</f>
        <v>3.2729999999999993E-5</v>
      </c>
      <c r="R17" t="s">
        <v>134</v>
      </c>
    </row>
    <row r="18" spans="2:18" x14ac:dyDescent="0.3">
      <c r="B18" t="s">
        <v>18</v>
      </c>
      <c r="C18" t="s">
        <v>146</v>
      </c>
      <c r="D18" t="s">
        <v>147</v>
      </c>
      <c r="F18" t="s">
        <v>147</v>
      </c>
      <c r="G18" t="s">
        <v>148</v>
      </c>
      <c r="M18" t="s">
        <v>148</v>
      </c>
      <c r="P18" t="s">
        <v>18</v>
      </c>
      <c r="Q18">
        <f>17.02*10^-3</f>
        <v>1.702E-2</v>
      </c>
      <c r="R18" t="s">
        <v>134</v>
      </c>
    </row>
    <row r="19" spans="2:18" x14ac:dyDescent="0.3">
      <c r="B19" t="s">
        <v>20</v>
      </c>
      <c r="C19" t="s">
        <v>149</v>
      </c>
      <c r="D19" t="s">
        <v>150</v>
      </c>
      <c r="F19" t="s">
        <v>150</v>
      </c>
      <c r="G19" t="s">
        <v>151</v>
      </c>
      <c r="M19" t="s">
        <v>151</v>
      </c>
      <c r="P19" t="s">
        <v>20</v>
      </c>
      <c r="Q19">
        <f>0.44*10^-6</f>
        <v>4.3999999999999997E-7</v>
      </c>
      <c r="R19" t="s">
        <v>134</v>
      </c>
    </row>
    <row r="20" spans="2:18" x14ac:dyDescent="0.3">
      <c r="B20" t="s">
        <v>23</v>
      </c>
      <c r="C20" t="s">
        <v>152</v>
      </c>
      <c r="G20" t="s">
        <v>152</v>
      </c>
      <c r="M20" t="s">
        <v>152</v>
      </c>
      <c r="P20" t="s">
        <v>23</v>
      </c>
      <c r="Q20">
        <f>53.93*10^-9</f>
        <v>5.3930000000000001E-8</v>
      </c>
      <c r="R20" t="s">
        <v>134</v>
      </c>
    </row>
    <row r="21" spans="2:18" x14ac:dyDescent="0.3">
      <c r="B21" t="s">
        <v>38</v>
      </c>
      <c r="C21" t="s">
        <v>153</v>
      </c>
      <c r="G21" t="s">
        <v>153</v>
      </c>
      <c r="M21" t="s">
        <v>153</v>
      </c>
      <c r="P21" t="s">
        <v>24</v>
      </c>
      <c r="Q21">
        <f>97.87*10^-9</f>
        <v>9.7870000000000015E-8</v>
      </c>
      <c r="R21" t="s">
        <v>134</v>
      </c>
    </row>
    <row r="22" spans="2:18" x14ac:dyDescent="0.3">
      <c r="B22" t="s">
        <v>31</v>
      </c>
      <c r="C22" t="s">
        <v>154</v>
      </c>
      <c r="D22" t="s">
        <v>142</v>
      </c>
      <c r="F22" t="s">
        <v>142</v>
      </c>
      <c r="G22" t="s">
        <v>154</v>
      </c>
      <c r="M22" t="s">
        <v>154</v>
      </c>
    </row>
    <row r="23" spans="2:18" x14ac:dyDescent="0.3">
      <c r="B23" t="s">
        <v>41</v>
      </c>
      <c r="C23" t="s">
        <v>155</v>
      </c>
      <c r="D23" t="s">
        <v>156</v>
      </c>
      <c r="F23" t="s">
        <v>156</v>
      </c>
      <c r="G23" t="s">
        <v>157</v>
      </c>
      <c r="M23" t="s">
        <v>157</v>
      </c>
    </row>
    <row r="24" spans="2:18" x14ac:dyDescent="0.3">
      <c r="B24" t="s">
        <v>158</v>
      </c>
      <c r="C24" t="s">
        <v>159</v>
      </c>
      <c r="D24" t="s">
        <v>160</v>
      </c>
      <c r="F24" t="s">
        <v>160</v>
      </c>
      <c r="G24" t="s">
        <v>161</v>
      </c>
      <c r="M24" t="s">
        <v>161</v>
      </c>
    </row>
    <row r="25" spans="2:18" x14ac:dyDescent="0.3">
      <c r="B25" t="s">
        <v>162</v>
      </c>
      <c r="C25" t="s">
        <v>163</v>
      </c>
      <c r="D25" t="s">
        <v>164</v>
      </c>
      <c r="F25" t="s">
        <v>164</v>
      </c>
      <c r="G25" t="s">
        <v>165</v>
      </c>
      <c r="M25" t="s">
        <v>165</v>
      </c>
    </row>
    <row r="26" spans="2:18" x14ac:dyDescent="0.3">
      <c r="B26" t="s">
        <v>166</v>
      </c>
      <c r="C26" t="s">
        <v>167</v>
      </c>
      <c r="D26" t="s">
        <v>168</v>
      </c>
      <c r="F26" t="s">
        <v>168</v>
      </c>
      <c r="G26" t="s">
        <v>169</v>
      </c>
      <c r="M26" t="s">
        <v>169</v>
      </c>
    </row>
    <row r="27" spans="2:18" x14ac:dyDescent="0.3">
      <c r="B27" t="s">
        <v>170</v>
      </c>
      <c r="C27" t="s">
        <v>171</v>
      </c>
      <c r="D27" t="s">
        <v>172</v>
      </c>
      <c r="F27" t="s">
        <v>172</v>
      </c>
      <c r="G27" t="s">
        <v>173</v>
      </c>
      <c r="M27" t="s">
        <v>173</v>
      </c>
    </row>
    <row r="28" spans="2:18" x14ac:dyDescent="0.3">
      <c r="B28" t="s">
        <v>174</v>
      </c>
      <c r="C28" t="s">
        <v>175</v>
      </c>
      <c r="D28" t="s">
        <v>176</v>
      </c>
      <c r="F28" t="s">
        <v>176</v>
      </c>
      <c r="G28" t="s">
        <v>177</v>
      </c>
      <c r="M28" t="s">
        <v>177</v>
      </c>
    </row>
    <row r="29" spans="2:18" x14ac:dyDescent="0.3">
      <c r="B29" t="s">
        <v>178</v>
      </c>
      <c r="C29" t="s">
        <v>179</v>
      </c>
      <c r="D29" t="s">
        <v>142</v>
      </c>
      <c r="F29" t="s">
        <v>142</v>
      </c>
      <c r="G29" t="s">
        <v>179</v>
      </c>
      <c r="M29" t="s">
        <v>179</v>
      </c>
    </row>
    <row r="30" spans="2:18" x14ac:dyDescent="0.3">
      <c r="B30" t="s">
        <v>180</v>
      </c>
      <c r="C30" t="s">
        <v>181</v>
      </c>
      <c r="D30" t="s">
        <v>182</v>
      </c>
      <c r="F30" t="s">
        <v>182</v>
      </c>
      <c r="G30" t="s">
        <v>183</v>
      </c>
      <c r="M30" t="s">
        <v>183</v>
      </c>
    </row>
    <row r="31" spans="2:18" x14ac:dyDescent="0.3">
      <c r="B31" t="s">
        <v>184</v>
      </c>
      <c r="C31" t="s">
        <v>185</v>
      </c>
      <c r="D31" t="s">
        <v>186</v>
      </c>
      <c r="F31" t="s">
        <v>186</v>
      </c>
      <c r="G31" t="s">
        <v>187</v>
      </c>
      <c r="M31" t="s">
        <v>187</v>
      </c>
    </row>
    <row r="32" spans="2:18" x14ac:dyDescent="0.3">
      <c r="B32" t="s">
        <v>188</v>
      </c>
      <c r="C32" t="s">
        <v>189</v>
      </c>
      <c r="D32" t="s">
        <v>190</v>
      </c>
      <c r="F32" t="s">
        <v>190</v>
      </c>
      <c r="G32" t="s">
        <v>191</v>
      </c>
      <c r="M32" t="s">
        <v>191</v>
      </c>
    </row>
    <row r="33" spans="2:13" x14ac:dyDescent="0.3">
      <c r="B33" t="s">
        <v>192</v>
      </c>
      <c r="C33" t="s">
        <v>193</v>
      </c>
      <c r="G33" t="s">
        <v>193</v>
      </c>
      <c r="M33" t="s">
        <v>193</v>
      </c>
    </row>
    <row r="34" spans="2:13" x14ac:dyDescent="0.3">
      <c r="B34" t="s">
        <v>194</v>
      </c>
      <c r="C34" t="s">
        <v>195</v>
      </c>
      <c r="G34" t="s">
        <v>195</v>
      </c>
      <c r="M34" t="s">
        <v>195</v>
      </c>
    </row>
    <row r="35" spans="2:13" x14ac:dyDescent="0.3">
      <c r="B35" t="s">
        <v>196</v>
      </c>
      <c r="C35" t="s">
        <v>197</v>
      </c>
      <c r="D35" t="s">
        <v>142</v>
      </c>
      <c r="F35" t="s">
        <v>142</v>
      </c>
      <c r="G35" t="s">
        <v>197</v>
      </c>
      <c r="M35" t="s">
        <v>197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2D34-83C7-4E60-9B15-0068A539CD6A}">
  <sheetPr codeName="Sheet12"/>
  <dimension ref="A1:H5"/>
  <sheetViews>
    <sheetView workbookViewId="0">
      <selection activeCell="I11" sqref="I11"/>
    </sheetView>
  </sheetViews>
  <sheetFormatPr defaultRowHeight="14.4" x14ac:dyDescent="0.3"/>
  <sheetData>
    <row r="1" spans="1:8" x14ac:dyDescent="0.3">
      <c r="A1" t="s">
        <v>97</v>
      </c>
    </row>
    <row r="2" spans="1:8" x14ac:dyDescent="0.3">
      <c r="A2" t="s">
        <v>98</v>
      </c>
    </row>
    <row r="3" spans="1:8" x14ac:dyDescent="0.3">
      <c r="A3" t="s">
        <v>99</v>
      </c>
    </row>
    <row r="4" spans="1:8" x14ac:dyDescent="0.3">
      <c r="A4" t="s">
        <v>100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</row>
    <row r="5" spans="1:8" x14ac:dyDescent="0.3">
      <c r="A5">
        <v>1.5044878048780489E-2</v>
      </c>
      <c r="B5">
        <v>4.6190000000000002E-2</v>
      </c>
      <c r="C5">
        <v>1.8199999999999999E-6</v>
      </c>
      <c r="D5">
        <v>7.451000000000001E-8</v>
      </c>
      <c r="E5">
        <v>4.299E-5</v>
      </c>
      <c r="F5">
        <v>4.4164239512195129E-7</v>
      </c>
      <c r="G5">
        <v>7.9350000000000006E-8</v>
      </c>
      <c r="H5">
        <v>1.4000000000000001E-7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6ECF-4629-44C3-B529-B04648F408D4}">
  <sheetPr codeName="Sheet11"/>
  <dimension ref="A1:C71"/>
  <sheetViews>
    <sheetView workbookViewId="0">
      <selection activeCell="I11" sqref="I11"/>
    </sheetView>
  </sheetViews>
  <sheetFormatPr defaultRowHeight="14.4" x14ac:dyDescent="0.3"/>
  <sheetData>
    <row r="1" spans="1:3" x14ac:dyDescent="0.3">
      <c r="A1" t="s">
        <v>96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0.26</v>
      </c>
      <c r="C5" t="s">
        <v>5</v>
      </c>
    </row>
    <row r="6" spans="1:3" x14ac:dyDescent="0.3">
      <c r="A6" t="s">
        <v>18</v>
      </c>
      <c r="B6">
        <v>0.26</v>
      </c>
      <c r="C6" t="s">
        <v>5</v>
      </c>
    </row>
    <row r="7" spans="1:3" x14ac:dyDescent="0.3">
      <c r="A7" t="s">
        <v>31</v>
      </c>
      <c r="B7" s="2">
        <v>-4.8000000000000001E-5</v>
      </c>
      <c r="C7" t="s">
        <v>5</v>
      </c>
    </row>
    <row r="8" spans="1:3" x14ac:dyDescent="0.3">
      <c r="A8" t="s">
        <v>32</v>
      </c>
      <c r="B8">
        <v>20.6</v>
      </c>
      <c r="C8" t="s">
        <v>33</v>
      </c>
    </row>
    <row r="9" spans="1:3" x14ac:dyDescent="0.3">
      <c r="A9" t="s">
        <v>34</v>
      </c>
      <c r="B9">
        <v>69.84</v>
      </c>
      <c r="C9" t="s">
        <v>33</v>
      </c>
    </row>
    <row r="10" spans="1:3" x14ac:dyDescent="0.3">
      <c r="A10" t="s">
        <v>21</v>
      </c>
      <c r="B10">
        <v>1.2</v>
      </c>
      <c r="C10" t="s">
        <v>35</v>
      </c>
    </row>
    <row r="11" spans="1:3" x14ac:dyDescent="0.3">
      <c r="A11" t="s">
        <v>36</v>
      </c>
      <c r="B11">
        <v>51.53</v>
      </c>
      <c r="C11" t="s">
        <v>33</v>
      </c>
    </row>
    <row r="12" spans="1:3" x14ac:dyDescent="0.3">
      <c r="A12" t="s">
        <v>37</v>
      </c>
      <c r="B12">
        <v>37.19</v>
      </c>
      <c r="C12" t="s">
        <v>33</v>
      </c>
    </row>
    <row r="13" spans="1:3" x14ac:dyDescent="0.3">
      <c r="A13" t="s">
        <v>22</v>
      </c>
      <c r="B13">
        <v>0.86</v>
      </c>
      <c r="C13" t="s">
        <v>35</v>
      </c>
    </row>
    <row r="14" spans="1:3" x14ac:dyDescent="0.3">
      <c r="A14" t="s">
        <v>19</v>
      </c>
      <c r="B14">
        <v>0.21</v>
      </c>
      <c r="C14" t="s">
        <v>35</v>
      </c>
    </row>
    <row r="15" spans="1:3" x14ac:dyDescent="0.3">
      <c r="A15" t="s">
        <v>20</v>
      </c>
      <c r="B15">
        <v>2.27</v>
      </c>
      <c r="C15" t="s">
        <v>33</v>
      </c>
    </row>
    <row r="16" spans="1:3" x14ac:dyDescent="0.3">
      <c r="A16" t="s">
        <v>23</v>
      </c>
      <c r="B16">
        <v>2.8</v>
      </c>
      <c r="C16" t="s">
        <v>33</v>
      </c>
    </row>
    <row r="17" spans="1:3" x14ac:dyDescent="0.3">
      <c r="A17" t="s">
        <v>38</v>
      </c>
      <c r="B17">
        <v>3.09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40</v>
      </c>
      <c r="B19">
        <v>0.27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3324</v>
      </c>
      <c r="C24" t="s">
        <v>46</v>
      </c>
    </row>
    <row r="25" spans="1:3" x14ac:dyDescent="0.3">
      <c r="A25" t="s">
        <v>47</v>
      </c>
      <c r="B25">
        <v>556.28</v>
      </c>
      <c r="C25" t="s">
        <v>48</v>
      </c>
    </row>
    <row r="26" spans="1:3" x14ac:dyDescent="0.3">
      <c r="A26" t="s">
        <v>50</v>
      </c>
      <c r="B26">
        <v>267.66000000000003</v>
      </c>
      <c r="C26" t="s">
        <v>48</v>
      </c>
    </row>
    <row r="27" spans="1:3" x14ac:dyDescent="0.3">
      <c r="A27" t="s">
        <v>51</v>
      </c>
      <c r="B27">
        <v>176.36</v>
      </c>
      <c r="C27" t="s">
        <v>48</v>
      </c>
    </row>
    <row r="28" spans="1:3" x14ac:dyDescent="0.3">
      <c r="A28" t="s">
        <v>52</v>
      </c>
      <c r="B28">
        <v>85.37</v>
      </c>
      <c r="C28" t="s">
        <v>48</v>
      </c>
    </row>
    <row r="29" spans="1:3" x14ac:dyDescent="0.3">
      <c r="A29" t="s">
        <v>49</v>
      </c>
      <c r="B29">
        <v>26.89</v>
      </c>
      <c r="C29" t="s">
        <v>48</v>
      </c>
    </row>
    <row r="30" spans="1:3" x14ac:dyDescent="0.3">
      <c r="A30" t="s">
        <v>53</v>
      </c>
      <c r="B30">
        <v>2194</v>
      </c>
      <c r="C30" t="s">
        <v>46</v>
      </c>
    </row>
    <row r="31" spans="1:3" x14ac:dyDescent="0.3">
      <c r="A31" t="s">
        <v>54</v>
      </c>
      <c r="B31">
        <v>235.83</v>
      </c>
      <c r="C31" t="s">
        <v>46</v>
      </c>
    </row>
    <row r="32" spans="1:3" x14ac:dyDescent="0.3">
      <c r="A32" t="s">
        <v>55</v>
      </c>
      <c r="B32">
        <v>42.5</v>
      </c>
      <c r="C32" t="s">
        <v>46</v>
      </c>
    </row>
    <row r="33" spans="1:3" x14ac:dyDescent="0.3">
      <c r="A33" t="s">
        <v>56</v>
      </c>
      <c r="B33">
        <v>523.35</v>
      </c>
      <c r="C33" t="s">
        <v>58</v>
      </c>
    </row>
    <row r="34" spans="1:3" x14ac:dyDescent="0.3">
      <c r="A34" t="s">
        <v>57</v>
      </c>
      <c r="B34">
        <v>3819.69</v>
      </c>
      <c r="C34" t="s">
        <v>58</v>
      </c>
    </row>
    <row r="35" spans="1:3" x14ac:dyDescent="0.3">
      <c r="A35" t="s">
        <v>59</v>
      </c>
      <c r="B35">
        <v>197.09</v>
      </c>
      <c r="C35" t="s">
        <v>58</v>
      </c>
    </row>
    <row r="36" spans="1:3" x14ac:dyDescent="0.3">
      <c r="A36" t="s">
        <v>60</v>
      </c>
      <c r="B36">
        <v>73.069999999999993</v>
      </c>
      <c r="C36" t="s">
        <v>95</v>
      </c>
    </row>
    <row r="37" spans="1:3" x14ac:dyDescent="0.3">
      <c r="A37" t="s">
        <v>61</v>
      </c>
      <c r="B37">
        <v>2596.6799999999998</v>
      </c>
      <c r="C37" t="s">
        <v>58</v>
      </c>
    </row>
    <row r="38" spans="1:3" x14ac:dyDescent="0.3">
      <c r="A38" t="s">
        <v>62</v>
      </c>
      <c r="B38">
        <v>7713.14</v>
      </c>
      <c r="C38" t="s">
        <v>58</v>
      </c>
    </row>
    <row r="39" spans="1:3" x14ac:dyDescent="0.3">
      <c r="A39" t="s">
        <v>63</v>
      </c>
      <c r="B39">
        <v>168.16</v>
      </c>
      <c r="C39" t="s">
        <v>58</v>
      </c>
    </row>
    <row r="40" spans="1:3" x14ac:dyDescent="0.3">
      <c r="A40" t="s">
        <v>64</v>
      </c>
      <c r="B40">
        <v>224.77</v>
      </c>
      <c r="C40" t="s">
        <v>58</v>
      </c>
    </row>
    <row r="41" spans="1:3" x14ac:dyDescent="0.3">
      <c r="A41" t="s">
        <v>65</v>
      </c>
      <c r="B41">
        <v>1915.35</v>
      </c>
      <c r="C41" t="s">
        <v>58</v>
      </c>
    </row>
    <row r="42" spans="1:3" x14ac:dyDescent="0.3">
      <c r="A42" t="s">
        <v>66</v>
      </c>
      <c r="B42">
        <v>331.17</v>
      </c>
      <c r="C42" t="s">
        <v>46</v>
      </c>
    </row>
    <row r="43" spans="1:3" x14ac:dyDescent="0.3">
      <c r="A43" t="s">
        <v>67</v>
      </c>
      <c r="B43">
        <v>228.28</v>
      </c>
      <c r="C43" t="s">
        <v>46</v>
      </c>
    </row>
    <row r="44" spans="1:3" x14ac:dyDescent="0.3">
      <c r="A44" t="s">
        <v>68</v>
      </c>
      <c r="B44">
        <v>274.67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3311</v>
      </c>
      <c r="C46" t="s">
        <v>46</v>
      </c>
    </row>
    <row r="47" spans="1:3" x14ac:dyDescent="0.3">
      <c r="A47" t="s">
        <v>76</v>
      </c>
      <c r="B47">
        <v>3032</v>
      </c>
      <c r="C47" t="s">
        <v>46</v>
      </c>
    </row>
    <row r="48" spans="1:3" x14ac:dyDescent="0.3">
      <c r="A48" t="s">
        <v>72</v>
      </c>
      <c r="B48">
        <v>235.83</v>
      </c>
      <c r="C48" t="s">
        <v>46</v>
      </c>
    </row>
    <row r="49" spans="1:3" x14ac:dyDescent="0.3">
      <c r="A49" t="s">
        <v>71</v>
      </c>
      <c r="B49">
        <v>42.5</v>
      </c>
      <c r="C49" t="s">
        <v>46</v>
      </c>
    </row>
    <row r="50" spans="1:3" x14ac:dyDescent="0.3">
      <c r="A50" t="s">
        <v>73</v>
      </c>
      <c r="B50">
        <v>13.34</v>
      </c>
      <c r="C50" t="s">
        <v>46</v>
      </c>
    </row>
    <row r="51" spans="1:3" x14ac:dyDescent="0.3">
      <c r="A51" t="s">
        <v>74</v>
      </c>
      <c r="B51">
        <v>7713.14</v>
      </c>
      <c r="C51" t="s">
        <v>58</v>
      </c>
    </row>
    <row r="52" spans="1:3" x14ac:dyDescent="0.3">
      <c r="A52" t="s">
        <v>75</v>
      </c>
      <c r="B52">
        <v>5625.4</v>
      </c>
      <c r="C52" t="s">
        <v>58</v>
      </c>
    </row>
    <row r="53" spans="1:3" x14ac:dyDescent="0.3">
      <c r="A53" t="s">
        <v>77</v>
      </c>
      <c r="B53">
        <v>523.35</v>
      </c>
      <c r="C53" t="s">
        <v>58</v>
      </c>
    </row>
    <row r="54" spans="1:3" x14ac:dyDescent="0.3">
      <c r="A54" t="s">
        <v>78</v>
      </c>
    </row>
    <row r="55" spans="1:3" x14ac:dyDescent="0.3">
      <c r="A55" t="s">
        <v>29</v>
      </c>
    </row>
    <row r="56" spans="1:3" x14ac:dyDescent="0.3">
      <c r="A56" t="s">
        <v>28</v>
      </c>
    </row>
    <row r="57" spans="1:3" x14ac:dyDescent="0.3">
      <c r="A57" t="s">
        <v>30</v>
      </c>
      <c r="B57">
        <v>12.08</v>
      </c>
      <c r="C57" t="s">
        <v>35</v>
      </c>
    </row>
    <row r="58" spans="1:3" x14ac:dyDescent="0.3">
      <c r="A58" t="s">
        <v>18</v>
      </c>
      <c r="B58">
        <v>12.09</v>
      </c>
      <c r="C58" t="s">
        <v>35</v>
      </c>
    </row>
    <row r="59" spans="1:3" x14ac:dyDescent="0.3">
      <c r="A59" t="s">
        <v>31</v>
      </c>
      <c r="B59" s="2">
        <v>-1.1E-5</v>
      </c>
      <c r="C59" t="s">
        <v>5</v>
      </c>
    </row>
    <row r="60" spans="1:3" x14ac:dyDescent="0.3">
      <c r="A60" t="s">
        <v>32</v>
      </c>
      <c r="B60">
        <v>4.43</v>
      </c>
      <c r="C60" t="s">
        <v>33</v>
      </c>
    </row>
    <row r="61" spans="1:3" x14ac:dyDescent="0.3">
      <c r="A61" t="s">
        <v>34</v>
      </c>
      <c r="B61">
        <v>5.24</v>
      </c>
      <c r="C61" t="s">
        <v>33</v>
      </c>
    </row>
    <row r="62" spans="1:3" x14ac:dyDescent="0.3">
      <c r="A62" t="s">
        <v>21</v>
      </c>
      <c r="B62">
        <v>23.45</v>
      </c>
      <c r="C62" t="s">
        <v>33</v>
      </c>
    </row>
    <row r="63" spans="1:3" x14ac:dyDescent="0.3">
      <c r="A63" t="s">
        <v>36</v>
      </c>
      <c r="B63">
        <v>1.78</v>
      </c>
      <c r="C63" t="s">
        <v>33</v>
      </c>
    </row>
    <row r="64" spans="1:3" x14ac:dyDescent="0.3">
      <c r="A64" t="s">
        <v>37</v>
      </c>
      <c r="B64">
        <v>1.32</v>
      </c>
      <c r="C64" t="s">
        <v>33</v>
      </c>
    </row>
    <row r="65" spans="1:3" x14ac:dyDescent="0.3">
      <c r="A65" t="s">
        <v>22</v>
      </c>
      <c r="B65">
        <v>30.55</v>
      </c>
      <c r="C65" t="s">
        <v>33</v>
      </c>
    </row>
    <row r="66" spans="1:3" x14ac:dyDescent="0.3">
      <c r="A66" t="s">
        <v>19</v>
      </c>
      <c r="B66">
        <v>5.0999999999999996</v>
      </c>
      <c r="C66" t="s">
        <v>33</v>
      </c>
    </row>
    <row r="67" spans="1:3" x14ac:dyDescent="0.3">
      <c r="A67" t="s">
        <v>20</v>
      </c>
      <c r="B67">
        <v>0.15</v>
      </c>
      <c r="C67" t="s">
        <v>33</v>
      </c>
    </row>
    <row r="68" spans="1:3" x14ac:dyDescent="0.3">
      <c r="A68" t="s">
        <v>23</v>
      </c>
      <c r="B68">
        <v>0.11</v>
      </c>
      <c r="C68" t="s">
        <v>33</v>
      </c>
    </row>
    <row r="69" spans="1:3" x14ac:dyDescent="0.3">
      <c r="A69" t="s">
        <v>38</v>
      </c>
      <c r="B69">
        <v>0.24</v>
      </c>
      <c r="C69" t="s">
        <v>33</v>
      </c>
    </row>
    <row r="70" spans="1:3" x14ac:dyDescent="0.3">
      <c r="A70" t="s">
        <v>39</v>
      </c>
    </row>
    <row r="71" spans="1:3" x14ac:dyDescent="0.3">
      <c r="A71" t="s">
        <v>40</v>
      </c>
      <c r="B71">
        <v>12.29</v>
      </c>
      <c r="C71" t="s">
        <v>35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D625-F7BC-4DC6-BB65-5622F971CDF2}">
  <sheetPr codeName="Sheet10"/>
  <dimension ref="A1:L72"/>
  <sheetViews>
    <sheetView workbookViewId="0">
      <selection activeCell="I11" sqref="I11"/>
    </sheetView>
  </sheetViews>
  <sheetFormatPr defaultRowHeight="14.4" x14ac:dyDescent="0.3"/>
  <sheetData>
    <row r="1" spans="1:12" x14ac:dyDescent="0.3">
      <c r="A1" t="s">
        <v>93</v>
      </c>
      <c r="J1" t="s">
        <v>94</v>
      </c>
    </row>
    <row r="2" spans="1:12" x14ac:dyDescent="0.3">
      <c r="A2" t="s">
        <v>28</v>
      </c>
      <c r="J2" t="s">
        <v>28</v>
      </c>
    </row>
    <row r="3" spans="1:12" x14ac:dyDescent="0.3">
      <c r="A3" t="s">
        <v>29</v>
      </c>
      <c r="J3" t="s">
        <v>29</v>
      </c>
    </row>
    <row r="4" spans="1:12" x14ac:dyDescent="0.3">
      <c r="A4" t="s">
        <v>28</v>
      </c>
      <c r="J4" t="s">
        <v>28</v>
      </c>
    </row>
    <row r="5" spans="1:12" x14ac:dyDescent="0.3">
      <c r="A5" t="s">
        <v>30</v>
      </c>
      <c r="B5">
        <v>0.12</v>
      </c>
      <c r="C5" t="s">
        <v>5</v>
      </c>
      <c r="J5" t="s">
        <v>30</v>
      </c>
      <c r="K5">
        <v>0.43</v>
      </c>
      <c r="L5" t="s">
        <v>5</v>
      </c>
    </row>
    <row r="6" spans="1:12" x14ac:dyDescent="0.3">
      <c r="A6" t="s">
        <v>18</v>
      </c>
      <c r="B6" t="e">
        <f>#REF!*#REF!+#REF!*'Ammonia production_GREET'!B10*10^-3+#REF!*'NG-fired electricity_GREET'!B10*10^-3+#REF!*'Electricity US Mix_GREET'!H15*10^-6+#REF!*Freight_rail_GREET!Q19+#REF!*'HD Truck_GREET'!D5</f>
        <v>#REF!</v>
      </c>
      <c r="C6" t="s">
        <v>5</v>
      </c>
      <c r="J6" t="s">
        <v>18</v>
      </c>
      <c r="K6">
        <v>0.43</v>
      </c>
      <c r="L6" t="s">
        <v>5</v>
      </c>
    </row>
    <row r="7" spans="1:12" x14ac:dyDescent="0.3">
      <c r="A7" t="s">
        <v>31</v>
      </c>
      <c r="B7" s="2">
        <v>-3.9500000000000003E-6</v>
      </c>
      <c r="C7" t="s">
        <v>5</v>
      </c>
      <c r="J7" t="s">
        <v>31</v>
      </c>
      <c r="K7" s="2">
        <v>-1.7399999999999999E-5</v>
      </c>
      <c r="L7" t="s">
        <v>5</v>
      </c>
    </row>
    <row r="8" spans="1:12" x14ac:dyDescent="0.3">
      <c r="A8" t="s">
        <v>32</v>
      </c>
      <c r="B8">
        <v>20.260000000000002</v>
      </c>
      <c r="C8" t="s">
        <v>33</v>
      </c>
      <c r="J8" t="s">
        <v>32</v>
      </c>
      <c r="K8">
        <v>58.83</v>
      </c>
      <c r="L8" t="s">
        <v>33</v>
      </c>
    </row>
    <row r="9" spans="1:12" x14ac:dyDescent="0.3">
      <c r="A9" t="s">
        <v>34</v>
      </c>
      <c r="B9">
        <v>92.46</v>
      </c>
      <c r="C9" t="s">
        <v>33</v>
      </c>
      <c r="J9" t="s">
        <v>34</v>
      </c>
      <c r="K9">
        <v>0.25</v>
      </c>
      <c r="L9" t="s">
        <v>35</v>
      </c>
    </row>
    <row r="10" spans="1:12" x14ac:dyDescent="0.3">
      <c r="A10" t="s">
        <v>21</v>
      </c>
      <c r="B10">
        <v>0.11</v>
      </c>
      <c r="C10" t="s">
        <v>35</v>
      </c>
      <c r="J10" t="s">
        <v>21</v>
      </c>
      <c r="K10">
        <v>0.31</v>
      </c>
      <c r="L10" t="s">
        <v>35</v>
      </c>
    </row>
    <row r="11" spans="1:12" x14ac:dyDescent="0.3">
      <c r="A11" t="s">
        <v>36</v>
      </c>
      <c r="B11">
        <v>3.91</v>
      </c>
      <c r="C11" t="s">
        <v>33</v>
      </c>
      <c r="J11" t="s">
        <v>36</v>
      </c>
      <c r="K11">
        <v>4</v>
      </c>
      <c r="L11" t="s">
        <v>33</v>
      </c>
    </row>
    <row r="12" spans="1:12" x14ac:dyDescent="0.3">
      <c r="A12" t="s">
        <v>37</v>
      </c>
      <c r="B12">
        <v>3.78</v>
      </c>
      <c r="C12" t="s">
        <v>33</v>
      </c>
      <c r="J12" t="s">
        <v>37</v>
      </c>
      <c r="K12">
        <v>3.66</v>
      </c>
      <c r="L12" t="s">
        <v>33</v>
      </c>
    </row>
    <row r="13" spans="1:12" x14ac:dyDescent="0.3">
      <c r="A13" t="s">
        <v>22</v>
      </c>
      <c r="B13">
        <v>26.56</v>
      </c>
      <c r="C13" t="s">
        <v>33</v>
      </c>
      <c r="J13" t="s">
        <v>22</v>
      </c>
      <c r="K13">
        <v>79.94</v>
      </c>
      <c r="L13" t="s">
        <v>33</v>
      </c>
    </row>
    <row r="14" spans="1:12" x14ac:dyDescent="0.3">
      <c r="A14" t="s">
        <v>19</v>
      </c>
      <c r="B14">
        <v>0.31</v>
      </c>
      <c r="C14" t="s">
        <v>35</v>
      </c>
      <c r="J14" t="s">
        <v>19</v>
      </c>
      <c r="K14">
        <v>1.28</v>
      </c>
      <c r="L14" t="s">
        <v>35</v>
      </c>
    </row>
    <row r="15" spans="1:12" x14ac:dyDescent="0.3">
      <c r="A15" t="s">
        <v>20</v>
      </c>
      <c r="B15">
        <v>1.73</v>
      </c>
      <c r="C15" t="s">
        <v>33</v>
      </c>
      <c r="J15" t="s">
        <v>20</v>
      </c>
      <c r="K15">
        <v>6.07</v>
      </c>
      <c r="L15" t="s">
        <v>33</v>
      </c>
    </row>
    <row r="16" spans="1:12" x14ac:dyDescent="0.3">
      <c r="A16" t="s">
        <v>23</v>
      </c>
      <c r="B16">
        <v>0.69</v>
      </c>
      <c r="C16" t="s">
        <v>33</v>
      </c>
      <c r="J16" t="s">
        <v>23</v>
      </c>
      <c r="K16">
        <v>1</v>
      </c>
      <c r="L16" t="s">
        <v>33</v>
      </c>
    </row>
    <row r="17" spans="1:12" x14ac:dyDescent="0.3">
      <c r="A17" t="s">
        <v>38</v>
      </c>
      <c r="B17">
        <v>1.73</v>
      </c>
      <c r="C17" t="s">
        <v>33</v>
      </c>
      <c r="J17" t="s">
        <v>38</v>
      </c>
      <c r="K17">
        <v>1.54</v>
      </c>
      <c r="L17" t="s">
        <v>33</v>
      </c>
    </row>
    <row r="18" spans="1:12" x14ac:dyDescent="0.3">
      <c r="A18" t="s">
        <v>39</v>
      </c>
      <c r="J18" t="s">
        <v>39</v>
      </c>
    </row>
    <row r="19" spans="1:12" x14ac:dyDescent="0.3">
      <c r="A19" t="s">
        <v>40</v>
      </c>
      <c r="B19">
        <v>0.13</v>
      </c>
      <c r="C19" t="s">
        <v>5</v>
      </c>
      <c r="J19" t="s">
        <v>41</v>
      </c>
      <c r="K19">
        <v>0.47</v>
      </c>
      <c r="L19" t="s">
        <v>5</v>
      </c>
    </row>
    <row r="20" spans="1:12" x14ac:dyDescent="0.3">
      <c r="A20" t="s">
        <v>42</v>
      </c>
      <c r="J20" t="s">
        <v>42</v>
      </c>
    </row>
    <row r="21" spans="1:12" x14ac:dyDescent="0.3">
      <c r="A21" t="s">
        <v>43</v>
      </c>
      <c r="B21">
        <v>0</v>
      </c>
      <c r="C21" t="s">
        <v>44</v>
      </c>
      <c r="J21" t="s">
        <v>43</v>
      </c>
      <c r="K21">
        <v>0</v>
      </c>
      <c r="L21" t="s">
        <v>44</v>
      </c>
    </row>
    <row r="22" spans="1:12" x14ac:dyDescent="0.3">
      <c r="A22" t="s">
        <v>45</v>
      </c>
      <c r="J22" t="s">
        <v>45</v>
      </c>
    </row>
    <row r="23" spans="1:12" x14ac:dyDescent="0.3">
      <c r="A23" t="s">
        <v>29</v>
      </c>
      <c r="J23" t="s">
        <v>29</v>
      </c>
    </row>
    <row r="24" spans="1:12" x14ac:dyDescent="0.3">
      <c r="A24" t="s">
        <v>45</v>
      </c>
      <c r="B24">
        <v>2178</v>
      </c>
      <c r="C24" t="s">
        <v>46</v>
      </c>
      <c r="J24" t="s">
        <v>45</v>
      </c>
      <c r="K24">
        <v>7651</v>
      </c>
      <c r="L24" t="s">
        <v>46</v>
      </c>
    </row>
    <row r="25" spans="1:12" x14ac:dyDescent="0.3">
      <c r="A25" t="s">
        <v>47</v>
      </c>
      <c r="B25">
        <v>254.28</v>
      </c>
      <c r="C25" t="s">
        <v>48</v>
      </c>
      <c r="J25" t="s">
        <v>47</v>
      </c>
      <c r="K25">
        <v>725.63</v>
      </c>
      <c r="L25" t="s">
        <v>48</v>
      </c>
    </row>
    <row r="26" spans="1:12" x14ac:dyDescent="0.3">
      <c r="A26" t="s">
        <v>50</v>
      </c>
      <c r="B26">
        <v>223.35</v>
      </c>
      <c r="C26" t="s">
        <v>48</v>
      </c>
      <c r="J26" t="s">
        <v>50</v>
      </c>
      <c r="K26">
        <v>651.13</v>
      </c>
      <c r="L26" t="s">
        <v>48</v>
      </c>
    </row>
    <row r="27" spans="1:12" x14ac:dyDescent="0.3">
      <c r="A27" t="s">
        <v>51</v>
      </c>
      <c r="B27">
        <v>15.37</v>
      </c>
      <c r="C27" t="s">
        <v>48</v>
      </c>
      <c r="J27" t="s">
        <v>52</v>
      </c>
      <c r="K27">
        <v>45.99</v>
      </c>
      <c r="L27" t="s">
        <v>48</v>
      </c>
    </row>
    <row r="28" spans="1:12" x14ac:dyDescent="0.3">
      <c r="A28" t="s">
        <v>52</v>
      </c>
      <c r="B28">
        <v>13.27</v>
      </c>
      <c r="C28" t="s">
        <v>48</v>
      </c>
      <c r="J28" t="s">
        <v>51</v>
      </c>
      <c r="K28">
        <v>25.12</v>
      </c>
      <c r="L28" t="s">
        <v>48</v>
      </c>
    </row>
    <row r="29" spans="1:12" x14ac:dyDescent="0.3">
      <c r="A29" t="s">
        <v>49</v>
      </c>
      <c r="B29">
        <v>2.29</v>
      </c>
      <c r="C29" t="s">
        <v>48</v>
      </c>
      <c r="J29" t="s">
        <v>49</v>
      </c>
      <c r="K29">
        <v>3.4</v>
      </c>
      <c r="L29" t="s">
        <v>48</v>
      </c>
    </row>
    <row r="30" spans="1:12" x14ac:dyDescent="0.3">
      <c r="A30" t="s">
        <v>53</v>
      </c>
      <c r="B30">
        <v>5811.24</v>
      </c>
      <c r="C30" t="s">
        <v>58</v>
      </c>
      <c r="J30" t="s">
        <v>53</v>
      </c>
      <c r="K30">
        <v>20.03</v>
      </c>
      <c r="L30" t="s">
        <v>46</v>
      </c>
    </row>
    <row r="31" spans="1:12" x14ac:dyDescent="0.3">
      <c r="A31" t="s">
        <v>54</v>
      </c>
      <c r="B31">
        <v>2165</v>
      </c>
      <c r="C31" t="s">
        <v>46</v>
      </c>
      <c r="J31" t="s">
        <v>54</v>
      </c>
      <c r="K31">
        <v>7608</v>
      </c>
      <c r="L31" t="s">
        <v>46</v>
      </c>
    </row>
    <row r="32" spans="1:12" x14ac:dyDescent="0.3">
      <c r="A32" t="s">
        <v>55</v>
      </c>
      <c r="B32">
        <v>3592.43</v>
      </c>
      <c r="C32" t="s">
        <v>58</v>
      </c>
      <c r="J32" t="s">
        <v>55</v>
      </c>
      <c r="K32">
        <v>10.76</v>
      </c>
      <c r="L32" t="s">
        <v>46</v>
      </c>
    </row>
    <row r="33" spans="1:12" x14ac:dyDescent="0.3">
      <c r="A33" t="s">
        <v>56</v>
      </c>
      <c r="B33">
        <v>43.05</v>
      </c>
      <c r="C33" t="s">
        <v>58</v>
      </c>
      <c r="J33" t="s">
        <v>56</v>
      </c>
      <c r="K33">
        <v>189.64</v>
      </c>
      <c r="L33" t="s">
        <v>58</v>
      </c>
    </row>
    <row r="34" spans="1:12" x14ac:dyDescent="0.3">
      <c r="A34" t="s">
        <v>57</v>
      </c>
      <c r="B34">
        <v>10.11</v>
      </c>
      <c r="C34" t="s">
        <v>58</v>
      </c>
      <c r="J34" t="s">
        <v>57</v>
      </c>
      <c r="K34">
        <v>38.409999999999997</v>
      </c>
      <c r="L34" t="s">
        <v>58</v>
      </c>
    </row>
    <row r="35" spans="1:12" x14ac:dyDescent="0.3">
      <c r="A35" t="s">
        <v>59</v>
      </c>
      <c r="B35">
        <v>16.21</v>
      </c>
      <c r="C35" t="s">
        <v>58</v>
      </c>
      <c r="J35" t="s">
        <v>59</v>
      </c>
      <c r="K35">
        <v>52.3</v>
      </c>
      <c r="L35" t="s">
        <v>58</v>
      </c>
    </row>
    <row r="36" spans="1:12" x14ac:dyDescent="0.3">
      <c r="A36" t="s">
        <v>60</v>
      </c>
      <c r="B36">
        <v>6.01</v>
      </c>
      <c r="C36" t="s">
        <v>95</v>
      </c>
      <c r="J36" t="s">
        <v>60</v>
      </c>
      <c r="K36">
        <v>21.86</v>
      </c>
      <c r="L36" t="s">
        <v>95</v>
      </c>
    </row>
    <row r="37" spans="1:12" x14ac:dyDescent="0.3">
      <c r="A37" t="s">
        <v>61</v>
      </c>
      <c r="B37">
        <v>220.88</v>
      </c>
      <c r="C37" t="s">
        <v>58</v>
      </c>
      <c r="J37" t="s">
        <v>61</v>
      </c>
      <c r="K37">
        <v>732.13</v>
      </c>
      <c r="L37" t="s">
        <v>58</v>
      </c>
    </row>
    <row r="38" spans="1:12" x14ac:dyDescent="0.3">
      <c r="A38" t="s">
        <v>62</v>
      </c>
      <c r="B38">
        <v>634.41</v>
      </c>
      <c r="C38" t="s">
        <v>58</v>
      </c>
      <c r="J38" t="s">
        <v>62</v>
      </c>
      <c r="K38">
        <v>2307.1799999999998</v>
      </c>
      <c r="L38" t="s">
        <v>58</v>
      </c>
    </row>
    <row r="39" spans="1:12" x14ac:dyDescent="0.3">
      <c r="A39" t="s">
        <v>63</v>
      </c>
      <c r="B39">
        <v>13.83</v>
      </c>
      <c r="C39" t="s">
        <v>58</v>
      </c>
      <c r="J39" t="s">
        <v>63</v>
      </c>
      <c r="K39">
        <v>45.9</v>
      </c>
      <c r="L39" t="s">
        <v>58</v>
      </c>
    </row>
    <row r="40" spans="1:12" x14ac:dyDescent="0.3">
      <c r="A40" t="s">
        <v>64</v>
      </c>
      <c r="B40">
        <v>18.489999999999998</v>
      </c>
      <c r="C40" t="s">
        <v>58</v>
      </c>
      <c r="J40" t="s">
        <v>64</v>
      </c>
      <c r="K40">
        <v>70.67</v>
      </c>
      <c r="L40" t="s">
        <v>58</v>
      </c>
    </row>
    <row r="41" spans="1:12" x14ac:dyDescent="0.3">
      <c r="A41" t="s">
        <v>65</v>
      </c>
      <c r="B41">
        <v>157.54</v>
      </c>
      <c r="C41" t="s">
        <v>58</v>
      </c>
      <c r="J41" t="s">
        <v>65</v>
      </c>
      <c r="K41">
        <v>551.64</v>
      </c>
      <c r="L41" t="s">
        <v>58</v>
      </c>
    </row>
    <row r="42" spans="1:12" x14ac:dyDescent="0.3">
      <c r="A42" t="s">
        <v>66</v>
      </c>
      <c r="B42">
        <v>876.39</v>
      </c>
      <c r="C42" t="s">
        <v>58</v>
      </c>
      <c r="J42" t="s">
        <v>66</v>
      </c>
      <c r="K42">
        <v>3243.79</v>
      </c>
      <c r="L42" t="s">
        <v>58</v>
      </c>
    </row>
    <row r="43" spans="1:12" x14ac:dyDescent="0.3">
      <c r="A43" t="s">
        <v>67</v>
      </c>
      <c r="B43">
        <v>604.11</v>
      </c>
      <c r="C43" t="s">
        <v>58</v>
      </c>
      <c r="J43" t="s">
        <v>67</v>
      </c>
      <c r="K43">
        <v>2191.62</v>
      </c>
      <c r="L43" t="s">
        <v>58</v>
      </c>
    </row>
    <row r="44" spans="1:12" x14ac:dyDescent="0.3">
      <c r="A44" t="s">
        <v>68</v>
      </c>
      <c r="B44">
        <v>726.88</v>
      </c>
      <c r="C44" t="s">
        <v>58</v>
      </c>
      <c r="J44" t="s">
        <v>68</v>
      </c>
      <c r="K44">
        <v>2637.01</v>
      </c>
      <c r="L44" t="s">
        <v>58</v>
      </c>
    </row>
    <row r="45" spans="1:12" x14ac:dyDescent="0.3">
      <c r="A45" t="s">
        <v>39</v>
      </c>
      <c r="B45" t="s">
        <v>69</v>
      </c>
      <c r="J45" t="s">
        <v>39</v>
      </c>
      <c r="K45" t="s">
        <v>69</v>
      </c>
    </row>
    <row r="46" spans="1:12" x14ac:dyDescent="0.3">
      <c r="A46" t="s">
        <v>70</v>
      </c>
      <c r="B46">
        <v>2177</v>
      </c>
      <c r="C46" t="s">
        <v>46</v>
      </c>
      <c r="J46" t="s">
        <v>70</v>
      </c>
      <c r="K46">
        <v>7647</v>
      </c>
      <c r="L46" t="s">
        <v>46</v>
      </c>
    </row>
    <row r="47" spans="1:12" x14ac:dyDescent="0.3">
      <c r="A47" t="s">
        <v>72</v>
      </c>
      <c r="B47">
        <v>2165</v>
      </c>
      <c r="C47" t="s">
        <v>46</v>
      </c>
      <c r="J47" t="s">
        <v>72</v>
      </c>
      <c r="K47">
        <v>7608</v>
      </c>
      <c r="L47" t="s">
        <v>46</v>
      </c>
    </row>
    <row r="48" spans="1:12" x14ac:dyDescent="0.3">
      <c r="A48" t="s">
        <v>76</v>
      </c>
      <c r="B48">
        <v>8028.72</v>
      </c>
      <c r="C48" t="s">
        <v>58</v>
      </c>
      <c r="J48" t="s">
        <v>76</v>
      </c>
      <c r="K48">
        <v>28.14</v>
      </c>
      <c r="L48" t="s">
        <v>46</v>
      </c>
    </row>
    <row r="49" spans="1:12" x14ac:dyDescent="0.3">
      <c r="A49" t="s">
        <v>71</v>
      </c>
      <c r="B49">
        <v>3592.43</v>
      </c>
      <c r="C49" t="s">
        <v>58</v>
      </c>
      <c r="J49" t="s">
        <v>71</v>
      </c>
      <c r="K49">
        <v>10.76</v>
      </c>
      <c r="L49" t="s">
        <v>46</v>
      </c>
    </row>
    <row r="50" spans="1:12" x14ac:dyDescent="0.3">
      <c r="A50" t="s">
        <v>73</v>
      </c>
      <c r="B50">
        <v>1104.4000000000001</v>
      </c>
      <c r="C50" t="s">
        <v>58</v>
      </c>
      <c r="J50" t="s">
        <v>73</v>
      </c>
      <c r="K50">
        <v>3949.47</v>
      </c>
      <c r="L50" t="s">
        <v>58</v>
      </c>
    </row>
    <row r="51" spans="1:12" x14ac:dyDescent="0.3">
      <c r="A51" t="s">
        <v>74</v>
      </c>
      <c r="B51">
        <v>634.41</v>
      </c>
      <c r="C51" t="s">
        <v>58</v>
      </c>
      <c r="J51" t="s">
        <v>74</v>
      </c>
      <c r="K51">
        <v>2307.1799999999998</v>
      </c>
      <c r="L51" t="s">
        <v>58</v>
      </c>
    </row>
    <row r="52" spans="1:12" x14ac:dyDescent="0.3">
      <c r="A52" t="s">
        <v>75</v>
      </c>
      <c r="B52">
        <v>470</v>
      </c>
      <c r="C52" t="s">
        <v>58</v>
      </c>
      <c r="J52" t="s">
        <v>75</v>
      </c>
      <c r="K52">
        <v>1642.29</v>
      </c>
      <c r="L52" t="s">
        <v>58</v>
      </c>
    </row>
    <row r="53" spans="1:12" x14ac:dyDescent="0.3">
      <c r="A53" t="s">
        <v>77</v>
      </c>
      <c r="B53">
        <v>43.05</v>
      </c>
      <c r="C53" t="s">
        <v>58</v>
      </c>
      <c r="J53" t="s">
        <v>77</v>
      </c>
      <c r="K53">
        <v>189.64</v>
      </c>
      <c r="L53" t="s">
        <v>58</v>
      </c>
    </row>
    <row r="54" spans="1:12" x14ac:dyDescent="0.3">
      <c r="A54" t="s">
        <v>78</v>
      </c>
      <c r="J54" t="s">
        <v>79</v>
      </c>
      <c r="K54">
        <v>725.63</v>
      </c>
      <c r="L54" t="s">
        <v>48</v>
      </c>
    </row>
    <row r="55" spans="1:12" x14ac:dyDescent="0.3">
      <c r="A55" t="s">
        <v>29</v>
      </c>
      <c r="J55" t="s">
        <v>78</v>
      </c>
    </row>
    <row r="56" spans="1:12" x14ac:dyDescent="0.3">
      <c r="A56" t="s">
        <v>28</v>
      </c>
      <c r="J56" t="s">
        <v>29</v>
      </c>
    </row>
    <row r="57" spans="1:12" x14ac:dyDescent="0.3">
      <c r="A57" t="s">
        <v>30</v>
      </c>
      <c r="B57">
        <v>35.659999999999997</v>
      </c>
      <c r="C57" t="s">
        <v>35</v>
      </c>
      <c r="J57" t="s">
        <v>28</v>
      </c>
    </row>
    <row r="58" spans="1:12" x14ac:dyDescent="0.3">
      <c r="A58" t="s">
        <v>18</v>
      </c>
      <c r="B58">
        <v>35.659999999999997</v>
      </c>
      <c r="C58" t="s">
        <v>35</v>
      </c>
      <c r="J58" t="s">
        <v>30</v>
      </c>
      <c r="K58">
        <v>0.13</v>
      </c>
      <c r="L58" t="s">
        <v>5</v>
      </c>
    </row>
    <row r="59" spans="1:12" x14ac:dyDescent="0.3">
      <c r="A59" t="s">
        <v>31</v>
      </c>
      <c r="B59" s="2">
        <v>-9.0400000000000005E-7</v>
      </c>
      <c r="C59" t="s">
        <v>5</v>
      </c>
      <c r="J59" t="s">
        <v>18</v>
      </c>
      <c r="K59">
        <v>0.13</v>
      </c>
      <c r="L59" t="s">
        <v>5</v>
      </c>
    </row>
    <row r="60" spans="1:12" x14ac:dyDescent="0.3">
      <c r="A60" t="s">
        <v>32</v>
      </c>
      <c r="B60">
        <v>1.94</v>
      </c>
      <c r="C60" t="s">
        <v>33</v>
      </c>
      <c r="J60" t="s">
        <v>31</v>
      </c>
      <c r="K60" s="2">
        <v>-3.98E-6</v>
      </c>
      <c r="L60" t="s">
        <v>5</v>
      </c>
    </row>
    <row r="61" spans="1:12" x14ac:dyDescent="0.3">
      <c r="A61" t="s">
        <v>34</v>
      </c>
      <c r="B61">
        <v>18.329999999999998</v>
      </c>
      <c r="C61" t="s">
        <v>33</v>
      </c>
      <c r="J61" t="s">
        <v>32</v>
      </c>
      <c r="K61">
        <v>3</v>
      </c>
      <c r="L61" t="s">
        <v>33</v>
      </c>
    </row>
    <row r="62" spans="1:12" x14ac:dyDescent="0.3">
      <c r="A62" t="s">
        <v>21</v>
      </c>
      <c r="B62">
        <v>22.14</v>
      </c>
      <c r="C62" t="s">
        <v>33</v>
      </c>
      <c r="J62" t="s">
        <v>34</v>
      </c>
      <c r="K62">
        <v>41.21</v>
      </c>
      <c r="L62" t="s">
        <v>33</v>
      </c>
    </row>
    <row r="63" spans="1:12" x14ac:dyDescent="0.3">
      <c r="A63" t="s">
        <v>36</v>
      </c>
      <c r="B63">
        <v>0.97</v>
      </c>
      <c r="C63" t="s">
        <v>33</v>
      </c>
      <c r="J63" t="s">
        <v>21</v>
      </c>
      <c r="K63">
        <v>49.48</v>
      </c>
      <c r="L63" t="s">
        <v>33</v>
      </c>
    </row>
    <row r="64" spans="1:12" x14ac:dyDescent="0.3">
      <c r="A64" t="s">
        <v>37</v>
      </c>
      <c r="B64">
        <v>0.96</v>
      </c>
      <c r="C64" t="s">
        <v>33</v>
      </c>
      <c r="J64" t="s">
        <v>36</v>
      </c>
      <c r="K64">
        <v>0.36</v>
      </c>
      <c r="L64" t="s">
        <v>33</v>
      </c>
    </row>
    <row r="65" spans="1:12" x14ac:dyDescent="0.3">
      <c r="A65" t="s">
        <v>22</v>
      </c>
      <c r="B65">
        <v>2.09</v>
      </c>
      <c r="C65" t="s">
        <v>33</v>
      </c>
      <c r="J65" t="s">
        <v>37</v>
      </c>
      <c r="K65">
        <v>0.34</v>
      </c>
      <c r="L65" t="s">
        <v>33</v>
      </c>
    </row>
    <row r="66" spans="1:12" x14ac:dyDescent="0.3">
      <c r="A66" t="s">
        <v>19</v>
      </c>
      <c r="B66">
        <v>5.04</v>
      </c>
      <c r="C66" t="s">
        <v>33</v>
      </c>
      <c r="J66" t="s">
        <v>22</v>
      </c>
      <c r="K66">
        <v>3.06</v>
      </c>
      <c r="L66" t="s">
        <v>33</v>
      </c>
    </row>
    <row r="67" spans="1:12" x14ac:dyDescent="0.3">
      <c r="A67" t="s">
        <v>20</v>
      </c>
      <c r="B67">
        <v>0.27</v>
      </c>
      <c r="C67" t="s">
        <v>33</v>
      </c>
      <c r="J67" t="s">
        <v>19</v>
      </c>
      <c r="K67">
        <v>20.73</v>
      </c>
      <c r="L67" t="s">
        <v>33</v>
      </c>
    </row>
    <row r="68" spans="1:12" x14ac:dyDescent="0.3">
      <c r="A68" t="s">
        <v>23</v>
      </c>
      <c r="B68">
        <v>0.13</v>
      </c>
      <c r="C68" t="s">
        <v>33</v>
      </c>
      <c r="J68" t="s">
        <v>20</v>
      </c>
      <c r="K68">
        <v>0.96</v>
      </c>
      <c r="L68" t="s">
        <v>33</v>
      </c>
    </row>
    <row r="69" spans="1:12" x14ac:dyDescent="0.3">
      <c r="A69" t="s">
        <v>38</v>
      </c>
      <c r="B69">
        <v>0.46</v>
      </c>
      <c r="C69" t="s">
        <v>33</v>
      </c>
      <c r="J69" t="s">
        <v>23</v>
      </c>
      <c r="K69">
        <v>23.51</v>
      </c>
      <c r="L69" t="s">
        <v>95</v>
      </c>
    </row>
    <row r="70" spans="1:12" x14ac:dyDescent="0.3">
      <c r="A70" t="s">
        <v>39</v>
      </c>
      <c r="J70" t="s">
        <v>38</v>
      </c>
      <c r="K70">
        <v>0.2</v>
      </c>
      <c r="L70" t="s">
        <v>33</v>
      </c>
    </row>
    <row r="71" spans="1:12" x14ac:dyDescent="0.3">
      <c r="A71" t="s">
        <v>40</v>
      </c>
      <c r="B71">
        <v>35.92</v>
      </c>
      <c r="C71" t="s">
        <v>35</v>
      </c>
      <c r="J71" t="s">
        <v>39</v>
      </c>
    </row>
    <row r="72" spans="1:12" x14ac:dyDescent="0.3">
      <c r="J72" t="s">
        <v>41</v>
      </c>
      <c r="K72">
        <v>0.13</v>
      </c>
      <c r="L72" t="s">
        <v>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C6E5-4586-4C38-B207-8B749BD9EC92}">
  <sheetPr codeName="Sheet83"/>
  <dimension ref="A1:C72"/>
  <sheetViews>
    <sheetView tabSelected="1" workbookViewId="0">
      <selection activeCell="B10" sqref="B10"/>
    </sheetView>
  </sheetViews>
  <sheetFormatPr defaultRowHeight="14.4" x14ac:dyDescent="0.3"/>
  <cols>
    <col min="2" max="2" width="12" bestFit="1" customWidth="1"/>
  </cols>
  <sheetData>
    <row r="1" spans="1:3" x14ac:dyDescent="0.3">
      <c r="A1" t="s">
        <v>640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0.56999999999999995</v>
      </c>
      <c r="C5" t="s">
        <v>5</v>
      </c>
    </row>
    <row r="6" spans="1:3" x14ac:dyDescent="0.3">
      <c r="A6" t="s">
        <v>18</v>
      </c>
      <c r="B6">
        <v>0.56999999999999995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0.11</v>
      </c>
      <c r="C8" t="s">
        <v>35</v>
      </c>
    </row>
    <row r="9" spans="1:3" x14ac:dyDescent="0.3">
      <c r="A9" t="s">
        <v>34</v>
      </c>
      <c r="B9">
        <v>0.45</v>
      </c>
      <c r="C9" t="s">
        <v>35</v>
      </c>
    </row>
    <row r="10" spans="1:3" x14ac:dyDescent="0.3">
      <c r="A10" t="s">
        <v>21</v>
      </c>
      <c r="B10">
        <v>1.73</v>
      </c>
      <c r="C10" t="s">
        <v>35</v>
      </c>
    </row>
    <row r="11" spans="1:3" x14ac:dyDescent="0.3">
      <c r="A11" t="s">
        <v>36</v>
      </c>
      <c r="B11">
        <v>0.12</v>
      </c>
      <c r="C11" t="s">
        <v>35</v>
      </c>
    </row>
    <row r="12" spans="1:3" x14ac:dyDescent="0.3">
      <c r="A12" t="s">
        <v>37</v>
      </c>
      <c r="B12">
        <v>95.18</v>
      </c>
      <c r="C12" t="s">
        <v>33</v>
      </c>
    </row>
    <row r="13" spans="1:3" x14ac:dyDescent="0.3">
      <c r="A13" t="s">
        <v>22</v>
      </c>
      <c r="B13">
        <v>0.93</v>
      </c>
      <c r="C13" t="s">
        <v>35</v>
      </c>
    </row>
    <row r="14" spans="1:3" x14ac:dyDescent="0.3">
      <c r="A14" t="s">
        <v>19</v>
      </c>
      <c r="B14">
        <v>1.19</v>
      </c>
      <c r="C14" t="s">
        <v>35</v>
      </c>
    </row>
    <row r="15" spans="1:3" x14ac:dyDescent="0.3">
      <c r="A15" t="s">
        <v>20</v>
      </c>
      <c r="B15">
        <v>9.3699999999999992</v>
      </c>
      <c r="C15" t="s">
        <v>33</v>
      </c>
    </row>
    <row r="16" spans="1:3" x14ac:dyDescent="0.3">
      <c r="A16" t="s">
        <v>23</v>
      </c>
      <c r="B16">
        <v>19.59</v>
      </c>
      <c r="C16" t="s">
        <v>33</v>
      </c>
    </row>
    <row r="17" spans="1:3" x14ac:dyDescent="0.3">
      <c r="A17" t="s">
        <v>38</v>
      </c>
      <c r="B17">
        <v>32.74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0.61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8518</v>
      </c>
      <c r="C24" t="s">
        <v>46</v>
      </c>
    </row>
    <row r="25" spans="1:3" x14ac:dyDescent="0.3">
      <c r="A25" t="s">
        <v>47</v>
      </c>
      <c r="B25">
        <v>4000.97</v>
      </c>
      <c r="C25" t="s">
        <v>48</v>
      </c>
    </row>
    <row r="26" spans="1:3" x14ac:dyDescent="0.3">
      <c r="A26" t="s">
        <v>51</v>
      </c>
      <c r="B26">
        <v>2700.67</v>
      </c>
      <c r="C26" t="s">
        <v>48</v>
      </c>
    </row>
    <row r="27" spans="1:3" x14ac:dyDescent="0.3">
      <c r="A27" t="s">
        <v>49</v>
      </c>
      <c r="B27">
        <v>626.12</v>
      </c>
      <c r="C27" t="s">
        <v>48</v>
      </c>
    </row>
    <row r="28" spans="1:3" x14ac:dyDescent="0.3">
      <c r="A28" t="s">
        <v>50</v>
      </c>
      <c r="B28">
        <v>618.46</v>
      </c>
      <c r="C28" t="s">
        <v>48</v>
      </c>
    </row>
    <row r="29" spans="1:3" x14ac:dyDescent="0.3">
      <c r="A29" t="s">
        <v>52</v>
      </c>
      <c r="B29">
        <v>55.71</v>
      </c>
      <c r="C29" t="s">
        <v>48</v>
      </c>
    </row>
    <row r="30" spans="1:3" x14ac:dyDescent="0.3">
      <c r="A30" t="s">
        <v>53</v>
      </c>
      <c r="B30">
        <v>1934</v>
      </c>
      <c r="C30" t="s">
        <v>46</v>
      </c>
    </row>
    <row r="31" spans="1:3" x14ac:dyDescent="0.3">
      <c r="A31" t="s">
        <v>54</v>
      </c>
      <c r="B31">
        <v>3089</v>
      </c>
      <c r="C31" t="s">
        <v>46</v>
      </c>
    </row>
    <row r="32" spans="1:3" x14ac:dyDescent="0.3">
      <c r="A32" t="s">
        <v>55</v>
      </c>
      <c r="B32">
        <v>1984</v>
      </c>
      <c r="C32" t="s">
        <v>46</v>
      </c>
    </row>
    <row r="33" spans="1:3" x14ac:dyDescent="0.3">
      <c r="A33" t="s">
        <v>56</v>
      </c>
      <c r="B33">
        <v>34.950000000000003</v>
      </c>
      <c r="C33" t="s">
        <v>46</v>
      </c>
    </row>
    <row r="34" spans="1:3" x14ac:dyDescent="0.3">
      <c r="A34" t="s">
        <v>57</v>
      </c>
      <c r="B34">
        <v>3710.49</v>
      </c>
      <c r="C34" t="s">
        <v>58</v>
      </c>
    </row>
    <row r="35" spans="1:3" x14ac:dyDescent="0.3">
      <c r="A35" t="s">
        <v>59</v>
      </c>
      <c r="B35">
        <v>9640.5</v>
      </c>
      <c r="C35" t="s">
        <v>58</v>
      </c>
    </row>
    <row r="36" spans="1:3" x14ac:dyDescent="0.3">
      <c r="A36" t="s">
        <v>60</v>
      </c>
      <c r="B36">
        <v>4.03</v>
      </c>
      <c r="C36" t="s">
        <v>33</v>
      </c>
    </row>
    <row r="37" spans="1:3" x14ac:dyDescent="0.3">
      <c r="A37" t="s">
        <v>61</v>
      </c>
      <c r="B37">
        <v>135.02000000000001</v>
      </c>
      <c r="C37" t="s">
        <v>46</v>
      </c>
    </row>
    <row r="38" spans="1:3" x14ac:dyDescent="0.3">
      <c r="A38" t="s">
        <v>62</v>
      </c>
      <c r="B38">
        <v>425.25</v>
      </c>
      <c r="C38" t="s">
        <v>46</v>
      </c>
    </row>
    <row r="39" spans="1:3" x14ac:dyDescent="0.3">
      <c r="A39" t="s">
        <v>63</v>
      </c>
      <c r="B39">
        <v>8459.8799999999992</v>
      </c>
      <c r="C39" t="s">
        <v>58</v>
      </c>
    </row>
    <row r="40" spans="1:3" x14ac:dyDescent="0.3">
      <c r="A40" t="s">
        <v>64</v>
      </c>
      <c r="B40">
        <v>13.03</v>
      </c>
      <c r="C40" t="s">
        <v>46</v>
      </c>
    </row>
    <row r="41" spans="1:3" x14ac:dyDescent="0.3">
      <c r="A41" t="s">
        <v>65</v>
      </c>
      <c r="B41">
        <v>101.68</v>
      </c>
      <c r="C41" t="s">
        <v>46</v>
      </c>
    </row>
    <row r="42" spans="1:3" x14ac:dyDescent="0.3">
      <c r="A42" t="s">
        <v>66</v>
      </c>
      <c r="B42">
        <v>313.33999999999997</v>
      </c>
      <c r="C42" t="s">
        <v>46</v>
      </c>
    </row>
    <row r="43" spans="1:3" x14ac:dyDescent="0.3">
      <c r="A43" t="s">
        <v>67</v>
      </c>
      <c r="B43">
        <v>211.7</v>
      </c>
      <c r="C43" t="s">
        <v>46</v>
      </c>
    </row>
    <row r="44" spans="1:3" x14ac:dyDescent="0.3">
      <c r="A44" t="s">
        <v>68</v>
      </c>
      <c r="B44">
        <v>254.73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7790</v>
      </c>
      <c r="C46" t="s">
        <v>46</v>
      </c>
    </row>
    <row r="47" spans="1:3" x14ac:dyDescent="0.3">
      <c r="A47" t="s">
        <v>72</v>
      </c>
      <c r="B47">
        <v>3089</v>
      </c>
      <c r="C47" t="s">
        <v>46</v>
      </c>
    </row>
    <row r="48" spans="1:3" x14ac:dyDescent="0.3">
      <c r="A48" t="s">
        <v>76</v>
      </c>
      <c r="B48">
        <v>2717</v>
      </c>
      <c r="C48" t="s">
        <v>46</v>
      </c>
    </row>
    <row r="49" spans="1:3" x14ac:dyDescent="0.3">
      <c r="A49" t="s">
        <v>71</v>
      </c>
      <c r="B49">
        <v>1984</v>
      </c>
      <c r="C49" t="s">
        <v>46</v>
      </c>
    </row>
    <row r="50" spans="1:3" x14ac:dyDescent="0.3">
      <c r="A50" t="s">
        <v>73</v>
      </c>
      <c r="B50">
        <v>728.03</v>
      </c>
      <c r="C50" t="s">
        <v>46</v>
      </c>
    </row>
    <row r="51" spans="1:3" x14ac:dyDescent="0.3">
      <c r="A51" t="s">
        <v>74</v>
      </c>
      <c r="B51">
        <v>425.25</v>
      </c>
      <c r="C51" t="s">
        <v>46</v>
      </c>
    </row>
    <row r="52" spans="1:3" x14ac:dyDescent="0.3">
      <c r="A52" t="s">
        <v>75</v>
      </c>
      <c r="B52">
        <v>302.77999999999997</v>
      </c>
      <c r="C52" t="s">
        <v>46</v>
      </c>
    </row>
    <row r="53" spans="1:3" x14ac:dyDescent="0.3">
      <c r="A53" t="s">
        <v>77</v>
      </c>
      <c r="B53">
        <v>34.950000000000003</v>
      </c>
      <c r="C53" t="s">
        <v>46</v>
      </c>
    </row>
    <row r="54" spans="1:3" x14ac:dyDescent="0.3">
      <c r="A54" t="s">
        <v>79</v>
      </c>
      <c r="B54">
        <v>4000.97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0.11</v>
      </c>
      <c r="C58" t="s">
        <v>5</v>
      </c>
    </row>
    <row r="59" spans="1:3" x14ac:dyDescent="0.3">
      <c r="A59" t="s">
        <v>18</v>
      </c>
      <c r="B59">
        <v>0.11</v>
      </c>
      <c r="C59" t="s">
        <v>5</v>
      </c>
    </row>
    <row r="60" spans="1:3" x14ac:dyDescent="0.3">
      <c r="A60" t="s">
        <v>31</v>
      </c>
      <c r="B60" s="2">
        <v>-7.3399999999999995E-4</v>
      </c>
      <c r="C60" t="s">
        <v>5</v>
      </c>
    </row>
    <row r="61" spans="1:3" x14ac:dyDescent="0.3">
      <c r="A61" t="s">
        <v>32</v>
      </c>
      <c r="B61">
        <v>11.68</v>
      </c>
      <c r="C61" t="s">
        <v>33</v>
      </c>
    </row>
    <row r="62" spans="1:3" x14ac:dyDescent="0.3">
      <c r="A62" t="s">
        <v>34</v>
      </c>
      <c r="B62">
        <v>33.369999999999997</v>
      </c>
      <c r="C62" t="s">
        <v>33</v>
      </c>
    </row>
    <row r="63" spans="1:3" x14ac:dyDescent="0.3">
      <c r="A63" t="s">
        <v>21</v>
      </c>
      <c r="B63">
        <v>0.1</v>
      </c>
      <c r="C63" t="s">
        <v>35</v>
      </c>
    </row>
    <row r="64" spans="1:3" x14ac:dyDescent="0.3">
      <c r="A64" t="s">
        <v>36</v>
      </c>
      <c r="B64">
        <v>10.55</v>
      </c>
      <c r="C64" t="s">
        <v>33</v>
      </c>
    </row>
    <row r="65" spans="1:3" x14ac:dyDescent="0.3">
      <c r="A65" t="s">
        <v>37</v>
      </c>
      <c r="B65">
        <v>7.86</v>
      </c>
      <c r="C65" t="s">
        <v>33</v>
      </c>
    </row>
    <row r="66" spans="1:3" x14ac:dyDescent="0.3">
      <c r="A66" t="s">
        <v>22</v>
      </c>
      <c r="B66">
        <v>0.21</v>
      </c>
      <c r="C66" t="s">
        <v>35</v>
      </c>
    </row>
    <row r="67" spans="1:3" x14ac:dyDescent="0.3">
      <c r="A67" t="s">
        <v>19</v>
      </c>
      <c r="B67">
        <v>26.22</v>
      </c>
      <c r="C67" t="s">
        <v>33</v>
      </c>
    </row>
    <row r="68" spans="1:3" x14ac:dyDescent="0.3">
      <c r="A68" t="s">
        <v>20</v>
      </c>
      <c r="B68">
        <v>1.74</v>
      </c>
      <c r="C68" t="s">
        <v>33</v>
      </c>
    </row>
    <row r="69" spans="1:3" x14ac:dyDescent="0.3">
      <c r="A69" t="s">
        <v>23</v>
      </c>
      <c r="B69">
        <v>0.77</v>
      </c>
      <c r="C69" t="s">
        <v>33</v>
      </c>
    </row>
    <row r="70" spans="1:3" x14ac:dyDescent="0.3">
      <c r="A70" t="s">
        <v>38</v>
      </c>
      <c r="B70">
        <v>2.0299999999999998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0.11</v>
      </c>
      <c r="C72" t="s">
        <v>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0B5A-D1D3-47B8-A1DC-CCE589117A98}">
  <sheetPr codeName="Sheet81"/>
  <dimension ref="A1:C72"/>
  <sheetViews>
    <sheetView workbookViewId="0">
      <selection activeCell="C18" sqref="C18"/>
    </sheetView>
  </sheetViews>
  <sheetFormatPr defaultRowHeight="14.4" x14ac:dyDescent="0.3"/>
  <sheetData>
    <row r="1" spans="1:3" x14ac:dyDescent="0.3">
      <c r="A1" t="s">
        <v>639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2.98</v>
      </c>
      <c r="C5" t="s">
        <v>5</v>
      </c>
    </row>
    <row r="6" spans="1:3" x14ac:dyDescent="0.3">
      <c r="A6" t="s">
        <v>18</v>
      </c>
      <c r="B6">
        <v>2.98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6.21</v>
      </c>
      <c r="C8" t="s">
        <v>35</v>
      </c>
    </row>
    <row r="9" spans="1:3" x14ac:dyDescent="0.3">
      <c r="A9" t="s">
        <v>34</v>
      </c>
      <c r="B9">
        <v>7.03</v>
      </c>
      <c r="C9" t="s">
        <v>35</v>
      </c>
    </row>
    <row r="10" spans="1:3" x14ac:dyDescent="0.3">
      <c r="A10" t="s">
        <v>21</v>
      </c>
      <c r="B10">
        <v>7.3</v>
      </c>
      <c r="C10" t="s">
        <v>35</v>
      </c>
    </row>
    <row r="11" spans="1:3" x14ac:dyDescent="0.3">
      <c r="A11" t="s">
        <v>36</v>
      </c>
      <c r="B11">
        <v>1.32</v>
      </c>
      <c r="C11" t="s">
        <v>35</v>
      </c>
    </row>
    <row r="12" spans="1:3" x14ac:dyDescent="0.3">
      <c r="A12" t="s">
        <v>37</v>
      </c>
      <c r="B12">
        <v>1.08</v>
      </c>
      <c r="C12" t="s">
        <v>35</v>
      </c>
    </row>
    <row r="13" spans="1:3" x14ac:dyDescent="0.3">
      <c r="A13" t="s">
        <v>22</v>
      </c>
      <c r="B13">
        <v>17.75</v>
      </c>
      <c r="C13" t="s">
        <v>35</v>
      </c>
    </row>
    <row r="14" spans="1:3" x14ac:dyDescent="0.3">
      <c r="A14" t="s">
        <v>19</v>
      </c>
      <c r="B14">
        <v>10.8</v>
      </c>
      <c r="C14" t="s">
        <v>35</v>
      </c>
    </row>
    <row r="15" spans="1:3" x14ac:dyDescent="0.3">
      <c r="A15" t="s">
        <v>20</v>
      </c>
      <c r="B15">
        <v>2</v>
      </c>
      <c r="C15" t="s">
        <v>35</v>
      </c>
    </row>
    <row r="16" spans="1:3" x14ac:dyDescent="0.3">
      <c r="A16" t="s">
        <v>23</v>
      </c>
      <c r="B16">
        <v>56.72</v>
      </c>
      <c r="C16" t="s">
        <v>33</v>
      </c>
    </row>
    <row r="17" spans="1:3" x14ac:dyDescent="0.3">
      <c r="A17" t="s">
        <v>38</v>
      </c>
      <c r="B17">
        <v>0.15</v>
      </c>
      <c r="C17" t="s">
        <v>35</v>
      </c>
    </row>
    <row r="18" spans="1:3" x14ac:dyDescent="0.3">
      <c r="A18" t="s">
        <v>39</v>
      </c>
    </row>
    <row r="19" spans="1:3" x14ac:dyDescent="0.3">
      <c r="A19" t="s">
        <v>41</v>
      </c>
      <c r="B19">
        <v>3.86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62</v>
      </c>
      <c r="C24" t="s">
        <v>12</v>
      </c>
    </row>
    <row r="25" spans="1:3" x14ac:dyDescent="0.3">
      <c r="A25" t="s">
        <v>47</v>
      </c>
      <c r="B25">
        <v>14661.96</v>
      </c>
      <c r="C25" t="s">
        <v>48</v>
      </c>
    </row>
    <row r="26" spans="1:3" x14ac:dyDescent="0.3">
      <c r="A26" t="s">
        <v>52</v>
      </c>
      <c r="B26">
        <v>9682.1299999999992</v>
      </c>
      <c r="C26" t="s">
        <v>48</v>
      </c>
    </row>
    <row r="27" spans="1:3" x14ac:dyDescent="0.3">
      <c r="A27" t="s">
        <v>51</v>
      </c>
      <c r="B27">
        <v>3753.67</v>
      </c>
      <c r="C27" t="s">
        <v>48</v>
      </c>
    </row>
    <row r="28" spans="1:3" x14ac:dyDescent="0.3">
      <c r="A28" t="s">
        <v>49</v>
      </c>
      <c r="B28">
        <v>616.76</v>
      </c>
      <c r="C28" t="s">
        <v>48</v>
      </c>
    </row>
    <row r="29" spans="1:3" x14ac:dyDescent="0.3">
      <c r="A29" t="s">
        <v>50</v>
      </c>
      <c r="B29">
        <v>609.41</v>
      </c>
      <c r="C29" t="s">
        <v>48</v>
      </c>
    </row>
    <row r="30" spans="1:3" x14ac:dyDescent="0.3">
      <c r="A30" t="s">
        <v>53</v>
      </c>
      <c r="B30">
        <v>3713</v>
      </c>
      <c r="C30" t="s">
        <v>46</v>
      </c>
    </row>
    <row r="31" spans="1:3" x14ac:dyDescent="0.3">
      <c r="A31" t="s">
        <v>54</v>
      </c>
      <c r="B31">
        <v>54</v>
      </c>
      <c r="C31" t="s">
        <v>12</v>
      </c>
    </row>
    <row r="32" spans="1:3" x14ac:dyDescent="0.3">
      <c r="A32" t="s">
        <v>55</v>
      </c>
      <c r="B32">
        <v>1955</v>
      </c>
      <c r="C32" t="s">
        <v>46</v>
      </c>
    </row>
    <row r="33" spans="1:3" x14ac:dyDescent="0.3">
      <c r="A33" t="s">
        <v>56</v>
      </c>
      <c r="B33">
        <v>34.450000000000003</v>
      </c>
      <c r="C33" t="s">
        <v>46</v>
      </c>
    </row>
    <row r="34" spans="1:3" x14ac:dyDescent="0.3">
      <c r="A34" t="s">
        <v>57</v>
      </c>
      <c r="B34">
        <v>7124.98</v>
      </c>
      <c r="C34" t="s">
        <v>58</v>
      </c>
    </row>
    <row r="35" spans="1:3" x14ac:dyDescent="0.3">
      <c r="A35" t="s">
        <v>59</v>
      </c>
      <c r="B35">
        <v>9502.17</v>
      </c>
      <c r="C35" t="s">
        <v>58</v>
      </c>
    </row>
    <row r="36" spans="1:3" x14ac:dyDescent="0.3">
      <c r="A36" t="s">
        <v>60</v>
      </c>
      <c r="B36">
        <v>3.97</v>
      </c>
      <c r="C36" t="s">
        <v>33</v>
      </c>
    </row>
    <row r="37" spans="1:3" x14ac:dyDescent="0.3">
      <c r="A37" t="s">
        <v>61</v>
      </c>
      <c r="B37">
        <v>133</v>
      </c>
      <c r="C37" t="s">
        <v>46</v>
      </c>
    </row>
    <row r="38" spans="1:3" x14ac:dyDescent="0.3">
      <c r="A38" t="s">
        <v>62</v>
      </c>
      <c r="B38">
        <v>419.15</v>
      </c>
      <c r="C38" t="s">
        <v>46</v>
      </c>
    </row>
    <row r="39" spans="1:3" x14ac:dyDescent="0.3">
      <c r="A39" t="s">
        <v>63</v>
      </c>
      <c r="B39">
        <v>8338.5</v>
      </c>
      <c r="C39" t="s">
        <v>58</v>
      </c>
    </row>
    <row r="40" spans="1:3" x14ac:dyDescent="0.3">
      <c r="A40" t="s">
        <v>64</v>
      </c>
      <c r="B40">
        <v>12.84</v>
      </c>
      <c r="C40" t="s">
        <v>46</v>
      </c>
    </row>
    <row r="41" spans="1:3" x14ac:dyDescent="0.3">
      <c r="A41" t="s">
        <v>65</v>
      </c>
      <c r="B41">
        <v>100.22</v>
      </c>
      <c r="C41" t="s">
        <v>46</v>
      </c>
    </row>
    <row r="42" spans="1:3" x14ac:dyDescent="0.3">
      <c r="A42" t="s">
        <v>66</v>
      </c>
      <c r="B42">
        <v>601.67999999999995</v>
      </c>
      <c r="C42" t="s">
        <v>46</v>
      </c>
    </row>
    <row r="43" spans="1:3" x14ac:dyDescent="0.3">
      <c r="A43" t="s">
        <v>67</v>
      </c>
      <c r="B43">
        <v>406.52</v>
      </c>
      <c r="C43" t="s">
        <v>46</v>
      </c>
    </row>
    <row r="44" spans="1:3" x14ac:dyDescent="0.3">
      <c r="A44" t="s">
        <v>68</v>
      </c>
      <c r="B44">
        <v>489.13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61</v>
      </c>
      <c r="C46" t="s">
        <v>12</v>
      </c>
    </row>
    <row r="47" spans="1:3" x14ac:dyDescent="0.3">
      <c r="A47" t="s">
        <v>72</v>
      </c>
      <c r="B47">
        <v>54</v>
      </c>
      <c r="C47" t="s">
        <v>12</v>
      </c>
    </row>
    <row r="48" spans="1:3" x14ac:dyDescent="0.3">
      <c r="A48" t="s">
        <v>76</v>
      </c>
      <c r="B48">
        <v>5218</v>
      </c>
      <c r="C48" t="s">
        <v>46</v>
      </c>
    </row>
    <row r="49" spans="1:3" x14ac:dyDescent="0.3">
      <c r="A49" t="s">
        <v>71</v>
      </c>
      <c r="B49">
        <v>1955</v>
      </c>
      <c r="C49" t="s">
        <v>46</v>
      </c>
    </row>
    <row r="50" spans="1:3" x14ac:dyDescent="0.3">
      <c r="A50" t="s">
        <v>73</v>
      </c>
      <c r="B50">
        <v>717.5</v>
      </c>
      <c r="C50" t="s">
        <v>46</v>
      </c>
    </row>
    <row r="51" spans="1:3" x14ac:dyDescent="0.3">
      <c r="A51" t="s">
        <v>74</v>
      </c>
      <c r="B51">
        <v>419.15</v>
      </c>
      <c r="C51" t="s">
        <v>46</v>
      </c>
    </row>
    <row r="52" spans="1:3" x14ac:dyDescent="0.3">
      <c r="A52" t="s">
        <v>75</v>
      </c>
      <c r="B52">
        <v>298.35000000000002</v>
      </c>
      <c r="C52" t="s">
        <v>46</v>
      </c>
    </row>
    <row r="53" spans="1:3" x14ac:dyDescent="0.3">
      <c r="A53" t="s">
        <v>77</v>
      </c>
      <c r="B53">
        <v>34.450000000000003</v>
      </c>
      <c r="C53" t="s">
        <v>46</v>
      </c>
    </row>
    <row r="54" spans="1:3" x14ac:dyDescent="0.3">
      <c r="A54" t="s">
        <v>79</v>
      </c>
      <c r="B54">
        <v>14661.96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0.14000000000000001</v>
      </c>
      <c r="C58" t="s">
        <v>5</v>
      </c>
    </row>
    <row r="59" spans="1:3" x14ac:dyDescent="0.3">
      <c r="A59" t="s">
        <v>18</v>
      </c>
      <c r="B59">
        <v>0.14000000000000001</v>
      </c>
      <c r="C59" t="s">
        <v>5</v>
      </c>
    </row>
    <row r="60" spans="1:3" x14ac:dyDescent="0.3">
      <c r="A60" t="s">
        <v>31</v>
      </c>
      <c r="B60" s="2">
        <v>-7.2400000000000003E-4</v>
      </c>
      <c r="C60" t="s">
        <v>5</v>
      </c>
    </row>
    <row r="61" spans="1:3" x14ac:dyDescent="0.3">
      <c r="A61" t="s">
        <v>32</v>
      </c>
      <c r="B61">
        <v>46.44</v>
      </c>
      <c r="C61" t="s">
        <v>33</v>
      </c>
    </row>
    <row r="62" spans="1:3" x14ac:dyDescent="0.3">
      <c r="A62" t="s">
        <v>34</v>
      </c>
      <c r="B62">
        <v>0.17</v>
      </c>
      <c r="C62" t="s">
        <v>35</v>
      </c>
    </row>
    <row r="63" spans="1:3" x14ac:dyDescent="0.3">
      <c r="A63" t="s">
        <v>21</v>
      </c>
      <c r="B63">
        <v>0.4</v>
      </c>
      <c r="C63" t="s">
        <v>35</v>
      </c>
    </row>
    <row r="64" spans="1:3" x14ac:dyDescent="0.3">
      <c r="A64" t="s">
        <v>36</v>
      </c>
      <c r="B64">
        <v>23.04</v>
      </c>
      <c r="C64" t="s">
        <v>33</v>
      </c>
    </row>
    <row r="65" spans="1:3" x14ac:dyDescent="0.3">
      <c r="A65" t="s">
        <v>37</v>
      </c>
      <c r="B65">
        <v>19.13</v>
      </c>
      <c r="C65" t="s">
        <v>33</v>
      </c>
    </row>
    <row r="66" spans="1:3" x14ac:dyDescent="0.3">
      <c r="A66" t="s">
        <v>22</v>
      </c>
      <c r="B66">
        <v>0.28999999999999998</v>
      </c>
      <c r="C66" t="s">
        <v>35</v>
      </c>
    </row>
    <row r="67" spans="1:3" x14ac:dyDescent="0.3">
      <c r="A67" t="s">
        <v>19</v>
      </c>
      <c r="B67">
        <v>0.21</v>
      </c>
      <c r="C67" t="s">
        <v>35</v>
      </c>
    </row>
    <row r="68" spans="1:3" x14ac:dyDescent="0.3">
      <c r="A68" t="s">
        <v>20</v>
      </c>
      <c r="B68">
        <v>9.34</v>
      </c>
      <c r="C68" t="s">
        <v>33</v>
      </c>
    </row>
    <row r="69" spans="1:3" x14ac:dyDescent="0.3">
      <c r="A69" t="s">
        <v>23</v>
      </c>
      <c r="B69">
        <v>2.39</v>
      </c>
      <c r="C69" t="s">
        <v>33</v>
      </c>
    </row>
    <row r="70" spans="1:3" x14ac:dyDescent="0.3">
      <c r="A70" t="s">
        <v>38</v>
      </c>
      <c r="B70">
        <v>6.81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0.15</v>
      </c>
      <c r="C72" t="s">
        <v>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2A38-51EF-437D-9F41-A08C6B644F28}">
  <sheetPr codeName="Sheet70"/>
  <dimension ref="A1:H9"/>
  <sheetViews>
    <sheetView workbookViewId="0">
      <selection activeCell="B8" sqref="B8"/>
    </sheetView>
  </sheetViews>
  <sheetFormatPr defaultRowHeight="14.4" x14ac:dyDescent="0.3"/>
  <cols>
    <col min="1" max="1" width="17.109375" customWidth="1"/>
    <col min="3" max="5" width="12" bestFit="1" customWidth="1"/>
    <col min="7" max="8" width="12" bestFit="1" customWidth="1"/>
  </cols>
  <sheetData>
    <row r="1" spans="1:8" x14ac:dyDescent="0.3">
      <c r="A1" s="5" t="s">
        <v>628</v>
      </c>
    </row>
    <row r="2" spans="1:8" x14ac:dyDescent="0.3">
      <c r="A2" t="s">
        <v>629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630</v>
      </c>
      <c r="B3">
        <f>BreadWheat_Simapro!$B$44/BreadWheat_Simapro!$B$36*'Nitrogen, average_GREET'!B5</f>
        <v>0.10491998171010516</v>
      </c>
      <c r="C3">
        <f>BreadWheat_Simapro!$B$44/BreadWheat_Simapro!$B$36*'Nitrogen, average_GREET'!B14*10^-3</f>
        <v>3.8024691358024693E-4</v>
      </c>
      <c r="D3">
        <f>BreadWheat_Simapro!$B$44/BreadWheat_Simapro!$B$36*'Nitrogen, average_GREET'!B15*10^-3</f>
        <v>7.0416095107453134E-5</v>
      </c>
      <c r="E3">
        <f>BreadWheat_Simapro!$B$44/BreadWheat_Simapro!$B$36*'Nitrogen, average_GREET'!B10*10^-3</f>
        <v>2.5701874714220392E-4</v>
      </c>
      <c r="F3">
        <f>BreadWheat_Simapro!$B$44/BreadWheat_Simapro!$B$36*'Nitrogen, average_GREET'!B13*10^-3</f>
        <v>6.2494284407864657E-4</v>
      </c>
      <c r="G3">
        <f>BreadWheat_Simapro!$B$44/BreadWheat_Simapro!$B$36*'Nitrogen, average_GREET'!B16*10^-6</f>
        <v>1.9970004572473709E-6</v>
      </c>
      <c r="H3">
        <f>BreadWheat_Simapro!$B$44/BreadWheat_Simapro!$B$36*'Nitrogen, average_GREET'!B17*10^-3</f>
        <v>5.2812071330589847E-6</v>
      </c>
    </row>
    <row r="4" spans="1:8" x14ac:dyDescent="0.3">
      <c r="A4" t="s">
        <v>631</v>
      </c>
      <c r="B4">
        <f>BreadWheat_Simapro!$B$45/BreadWheat_Simapro!$B$36*'Phosphoric acid_GREET'!B5</f>
        <v>4.2889803383630541E-3</v>
      </c>
      <c r="C4">
        <f>BreadWheat_Simapro!$B$45/BreadWheat_Simapro!$B$36*'Phosphoric acid_GREET'!B14*10^-3</f>
        <v>1.1106538637402835E-5</v>
      </c>
      <c r="D4">
        <f>BreadWheat_Simapro!$B$45/BreadWheat_Simapro!$B$36*'Phosphoric acid_GREET'!B15*10^-6</f>
        <v>8.9812528577960669E-8</v>
      </c>
      <c r="E4">
        <f>BreadWheat_Simapro!$B$45/BreadWheat_Simapro!$B$36*'Phosphoric acid_GREET'!B10*10^-3</f>
        <v>1.6419753086419752E-5</v>
      </c>
      <c r="F4">
        <f>BreadWheat_Simapro!$B$45/BreadWheat_Simapro!$B$36*'Phosphoric acid_GREET'!B13*10^-3</f>
        <v>1.9582075903063558E-4</v>
      </c>
      <c r="G4">
        <f>BreadWheat_Simapro!$B$45/BreadWheat_Simapro!$B$36*'Phosphoric acid_GREET'!B16*10^-6</f>
        <v>1.5187471422039323E-7</v>
      </c>
      <c r="H4">
        <f>BreadWheat_Simapro!$B$45/BreadWheat_Simapro!$B$36*'Phosphoric acid_GREET'!B17*10^-3</f>
        <v>3.5208047553726568E-7</v>
      </c>
    </row>
    <row r="5" spans="1:8" x14ac:dyDescent="0.3">
      <c r="A5" t="s">
        <v>632</v>
      </c>
      <c r="B5">
        <f>BreadWheat_Simapro!$B$46/BreadWheat_Simapro!$B$36*Potassium_GREET!B5</f>
        <v>5.3863740283493361E-3</v>
      </c>
      <c r="C5">
        <f>BreadWheat_Simapro!$B$46/BreadWheat_Simapro!$B$36*Potassium_GREET!B14*10^-3</f>
        <v>1.1245237006553878E-5</v>
      </c>
      <c r="D5">
        <f>BreadWheat_Simapro!$B$46/BreadWheat_Simapro!$B$36*Potassium_GREET!B15*10^-6</f>
        <v>8.8544429202865406E-8</v>
      </c>
      <c r="E5">
        <f>BreadWheat_Simapro!$B$46/BreadWheat_Simapro!$B$36*Potassium_GREET!B10*10^-3</f>
        <v>1.6348117664990093E-5</v>
      </c>
      <c r="F5">
        <f>BreadWheat_Simapro!$B$46/BreadWheat_Simapro!$B$36*Potassium_GREET!B13*10^-3</f>
        <v>8.7882944673068137E-6</v>
      </c>
      <c r="G5">
        <f>BreadWheat_Simapro!$B$46/BreadWheat_Simapro!$B$36*Potassium_GREET!B16*10^-6</f>
        <v>1.8512117055326931E-7</v>
      </c>
      <c r="H5">
        <f>BreadWheat_Simapro!$B$46/BreadWheat_Simapro!$B$36*Potassium_GREET!B17*10^-6</f>
        <v>3.0938576436518823E-7</v>
      </c>
    </row>
    <row r="6" spans="1:8" x14ac:dyDescent="0.3">
      <c r="A6" t="s">
        <v>633</v>
      </c>
      <c r="B6">
        <f>BreadWheat_Simapro!$B$47/BreadWheat_Simapro!$B$36*'Engine Oil_GREET'!B5</f>
        <v>6.678859929888736E-3</v>
      </c>
      <c r="C6">
        <f>BreadWheat_Simapro!$B$47/BreadWheat_Simapro!$B$36*'Engine Oil_GREET'!B14*10^-3</f>
        <v>7.660417619265356E-6</v>
      </c>
      <c r="D6">
        <f>BreadWheat_Simapro!$B$47/BreadWheat_Simapro!$B$36*'Engine Oil_GREET'!B15*10^-6</f>
        <v>1.3272367017222981E-7</v>
      </c>
      <c r="E6">
        <f>BreadWheat_Simapro!$B$47/BreadWheat_Simapro!$B$36*'Engine Oil_GREET'!B10*10^-3</f>
        <v>1.4168571864045114E-5</v>
      </c>
      <c r="F6">
        <f>BreadWheat_Simapro!$B$47/BreadWheat_Simapro!$B$36*'Engine Oil_GREET'!B13*10^-3</f>
        <v>4.3380582228318849E-5</v>
      </c>
      <c r="G6">
        <f>BreadWheat_Simapro!$B$47/BreadWheat_Simapro!$B$36*'Engine Oil_GREET'!B16*10^-6</f>
        <v>8.8574912360920576E-8</v>
      </c>
      <c r="H6">
        <f>BreadWheat_Simapro!$B$47/BreadWheat_Simapro!$B$36*'Engine Oil_GREET'!B17*10^-6</f>
        <v>9.8027739673830197E-8</v>
      </c>
    </row>
    <row r="7" spans="1:8" x14ac:dyDescent="0.3">
      <c r="A7" t="s">
        <v>634</v>
      </c>
      <c r="B7">
        <f>BreadWheat_Simapro!$B$50/BreadWheat_Simapro!$B$36*'NG-fired electricity_GREET'!K5</f>
        <v>1.6384697454656302E-3</v>
      </c>
      <c r="C7">
        <f>BreadWheat_Simapro!$B$50/BreadWheat_Simapro!$B$36*'NG-fired electricity_GREET'!K14*10^-3</f>
        <v>4.8773052888279226E-6</v>
      </c>
      <c r="D7">
        <f>BreadWheat_Simapro!$B$50/BreadWheat_Simapro!$B$36*'NG-fired electricity_GREET'!K15*10^-6</f>
        <v>2.3129096174363667E-8</v>
      </c>
      <c r="E7">
        <f>BreadWheat_Simapro!$B$50/BreadWheat_Simapro!$B$36*'NG-fired electricity_GREET'!K10*10^-3</f>
        <v>1.1812223746380124E-6</v>
      </c>
      <c r="F7">
        <f>BreadWheat_Simapro!$B$50/BreadWheat_Simapro!$B$36*'NG-fired electricity_GREET'!K13*10^-6</f>
        <v>3.0460295686633137E-7</v>
      </c>
      <c r="G7">
        <f>BreadWheat_Simapro!$B$50/BreadWheat_Simapro!$B$36*'NG-fired electricity_GREET'!K16*10^-6</f>
        <v>3.8103947568968144E-9</v>
      </c>
      <c r="H7">
        <f>BreadWheat_Simapro!$B$50/BreadWheat_Simapro!$B$36*'NG-fired electricity_GREET'!K17*10^-6</f>
        <v>5.8680079256210948E-9</v>
      </c>
    </row>
    <row r="8" spans="1:8" x14ac:dyDescent="0.3">
      <c r="A8" t="s">
        <v>620</v>
      </c>
      <c r="B8">
        <f>BreadWheat_Simapro!$B$51/BreadWheat_Simapro!$B$36*'Diesel building maching_GREET'!Q19</f>
        <v>6.6228364578570342E-2</v>
      </c>
      <c r="C8">
        <f>BreadWheat_Simapro!$B$51/BreadWheat_Simapro!$B$36*'Diesel building maching_GREET'!Q18</f>
        <v>1.2750647767108674E-4</v>
      </c>
      <c r="D8">
        <f>BreadWheat_Simapro!$B$51/BreadWheat_Simapro!$B$36*'Diesel building maching_GREET'!Q20</f>
        <v>2.9251486053955191E-7</v>
      </c>
      <c r="E8">
        <f>BreadWheat_Simapro!$B$51/BreadWheat_Simapro!$B$36*'Diesel building maching_GREET'!Q14</f>
        <v>5.533031092821216E-5</v>
      </c>
      <c r="F8">
        <f>BreadWheat_Simapro!$B$51/BreadWheat_Simapro!$B$36*'Diesel building maching_GREET'!Q17</f>
        <v>1.1888103947568967E-5</v>
      </c>
      <c r="G8">
        <f>BreadWheat_Simapro!$B$51/BreadWheat_Simapro!$B$36*'Diesel building maching_GREET'!Q21</f>
        <v>2.7751409846060052E-7</v>
      </c>
      <c r="H8">
        <f>BreadWheat_Simapro!$B$51/BreadWheat_Simapro!$B$36*'Diesel building maching_GREET'!Q22</f>
        <v>4.950251486053955E-7</v>
      </c>
    </row>
    <row r="9" spans="1:8" x14ac:dyDescent="0.3">
      <c r="A9" t="s">
        <v>453</v>
      </c>
      <c r="B9">
        <f t="shared" ref="B9:H9" si="0">SUM(B3:B8)</f>
        <v>0.18914103033074225</v>
      </c>
      <c r="C9">
        <f t="shared" si="0"/>
        <v>5.4264288980338362E-4</v>
      </c>
      <c r="D9">
        <f t="shared" si="0"/>
        <v>7.1042819692120103E-5</v>
      </c>
      <c r="E9">
        <f t="shared" si="0"/>
        <v>3.6046672306050908E-4</v>
      </c>
      <c r="F9">
        <f t="shared" si="0"/>
        <v>8.8512518670934293E-4</v>
      </c>
      <c r="G9">
        <f t="shared" si="0"/>
        <v>2.7038957475994511E-6</v>
      </c>
      <c r="H9">
        <f t="shared" si="0"/>
        <v>6.5415942691662857E-6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A3C8-83D9-4807-9C69-457B81B735D8}">
  <sheetPr codeName="Sheet69"/>
  <dimension ref="A1:I75"/>
  <sheetViews>
    <sheetView topLeftCell="A30" workbookViewId="0">
      <selection activeCell="E50" sqref="E50"/>
    </sheetView>
  </sheetViews>
  <sheetFormatPr defaultColWidth="17.6640625" defaultRowHeight="14.4" x14ac:dyDescent="0.3"/>
  <cols>
    <col min="1" max="1" width="26" customWidth="1"/>
  </cols>
  <sheetData>
    <row r="1" spans="1:6" x14ac:dyDescent="0.3">
      <c r="A1" t="s">
        <v>327</v>
      </c>
      <c r="B1" t="s">
        <v>328</v>
      </c>
      <c r="C1" t="s">
        <v>329</v>
      </c>
      <c r="D1" s="3">
        <v>43733</v>
      </c>
      <c r="E1" t="s">
        <v>330</v>
      </c>
      <c r="F1" s="4">
        <v>0.84872685185185182</v>
      </c>
    </row>
    <row r="5" spans="1:6" x14ac:dyDescent="0.3">
      <c r="A5" t="s">
        <v>331</v>
      </c>
    </row>
    <row r="7" spans="1:6" x14ac:dyDescent="0.3">
      <c r="A7" t="s">
        <v>332</v>
      </c>
      <c r="B7" t="s">
        <v>333</v>
      </c>
    </row>
    <row r="8" spans="1:6" x14ac:dyDescent="0.3">
      <c r="A8" t="s">
        <v>334</v>
      </c>
      <c r="B8" t="s">
        <v>604</v>
      </c>
    </row>
    <row r="9" spans="1:6" x14ac:dyDescent="0.3">
      <c r="A9" t="s">
        <v>336</v>
      </c>
      <c r="B9" t="s">
        <v>337</v>
      </c>
    </row>
    <row r="10" spans="1:6" x14ac:dyDescent="0.3">
      <c r="A10" t="s">
        <v>338</v>
      </c>
      <c r="B10" t="s">
        <v>605</v>
      </c>
    </row>
    <row r="11" spans="1:6" x14ac:dyDescent="0.3">
      <c r="A11" t="s">
        <v>340</v>
      </c>
    </row>
    <row r="12" spans="1:6" x14ac:dyDescent="0.3">
      <c r="A12" t="s">
        <v>341</v>
      </c>
      <c r="B12" t="s">
        <v>342</v>
      </c>
    </row>
    <row r="13" spans="1:6" x14ac:dyDescent="0.3">
      <c r="A13" t="s">
        <v>343</v>
      </c>
      <c r="B13" t="s">
        <v>342</v>
      </c>
    </row>
    <row r="14" spans="1:6" x14ac:dyDescent="0.3">
      <c r="A14" t="s">
        <v>344</v>
      </c>
      <c r="B14" t="s">
        <v>342</v>
      </c>
    </row>
    <row r="15" spans="1:6" x14ac:dyDescent="0.3">
      <c r="A15" t="s">
        <v>345</v>
      </c>
      <c r="B15" t="s">
        <v>342</v>
      </c>
    </row>
    <row r="16" spans="1:6" x14ac:dyDescent="0.3">
      <c r="A16" t="s">
        <v>346</v>
      </c>
      <c r="B16" t="s">
        <v>342</v>
      </c>
    </row>
    <row r="17" spans="1:2" x14ac:dyDescent="0.3">
      <c r="A17" t="s">
        <v>347</v>
      </c>
      <c r="B17" t="s">
        <v>342</v>
      </c>
    </row>
    <row r="18" spans="1:2" x14ac:dyDescent="0.3">
      <c r="A18" t="s">
        <v>348</v>
      </c>
      <c r="B18" t="s">
        <v>342</v>
      </c>
    </row>
    <row r="19" spans="1:2" x14ac:dyDescent="0.3">
      <c r="A19" t="s">
        <v>349</v>
      </c>
      <c r="B19" t="s">
        <v>342</v>
      </c>
    </row>
    <row r="20" spans="1:2" x14ac:dyDescent="0.3">
      <c r="A20" t="s">
        <v>350</v>
      </c>
      <c r="B20" t="s">
        <v>342</v>
      </c>
    </row>
    <row r="21" spans="1:2" x14ac:dyDescent="0.3">
      <c r="A21" t="s">
        <v>351</v>
      </c>
      <c r="B21" t="s">
        <v>352</v>
      </c>
    </row>
    <row r="22" spans="1:2" x14ac:dyDescent="0.3">
      <c r="A22" t="s">
        <v>353</v>
      </c>
      <c r="B22" s="3">
        <v>37553</v>
      </c>
    </row>
    <row r="23" spans="1:2" x14ac:dyDescent="0.3">
      <c r="A23" t="s">
        <v>354</v>
      </c>
      <c r="B23" t="s">
        <v>606</v>
      </c>
    </row>
    <row r="24" spans="1:2" x14ac:dyDescent="0.3">
      <c r="A24" t="s">
        <v>357</v>
      </c>
      <c r="B24" t="s">
        <v>607</v>
      </c>
    </row>
    <row r="25" spans="1:2" x14ac:dyDescent="0.3">
      <c r="A25" t="s">
        <v>359</v>
      </c>
    </row>
    <row r="26" spans="1:2" x14ac:dyDescent="0.3">
      <c r="A26" t="s">
        <v>363</v>
      </c>
    </row>
    <row r="27" spans="1:2" x14ac:dyDescent="0.3">
      <c r="A27" t="s">
        <v>365</v>
      </c>
    </row>
    <row r="28" spans="1:2" x14ac:dyDescent="0.3">
      <c r="A28" t="s">
        <v>368</v>
      </c>
    </row>
    <row r="29" spans="1:2" x14ac:dyDescent="0.3">
      <c r="A29" t="s">
        <v>372</v>
      </c>
      <c r="B29" t="s">
        <v>608</v>
      </c>
    </row>
    <row r="30" spans="1:2" x14ac:dyDescent="0.3">
      <c r="B30" t="s">
        <v>594</v>
      </c>
    </row>
    <row r="31" spans="1:2" x14ac:dyDescent="0.3">
      <c r="A31" t="s">
        <v>384</v>
      </c>
    </row>
    <row r="32" spans="1:2" x14ac:dyDescent="0.3">
      <c r="A32" t="s">
        <v>385</v>
      </c>
    </row>
    <row r="35" spans="1:8" x14ac:dyDescent="0.3">
      <c r="A35" t="s">
        <v>387</v>
      </c>
    </row>
    <row r="36" spans="1:8" x14ac:dyDescent="0.3">
      <c r="A36" t="s">
        <v>596</v>
      </c>
      <c r="B36">
        <v>6561</v>
      </c>
      <c r="C36" t="s">
        <v>5</v>
      </c>
      <c r="D36">
        <v>100</v>
      </c>
      <c r="E36" t="s">
        <v>388</v>
      </c>
      <c r="F36" t="s">
        <v>609</v>
      </c>
    </row>
    <row r="38" spans="1:8" x14ac:dyDescent="0.3">
      <c r="A38" t="s">
        <v>391</v>
      </c>
    </row>
    <row r="40" spans="1:8" x14ac:dyDescent="0.3">
      <c r="A40" t="s">
        <v>45</v>
      </c>
    </row>
    <row r="41" spans="1:8" x14ac:dyDescent="0.3">
      <c r="A41" t="s">
        <v>610</v>
      </c>
      <c r="B41" t="s">
        <v>611</v>
      </c>
      <c r="C41">
        <v>1</v>
      </c>
      <c r="D41" t="s">
        <v>612</v>
      </c>
      <c r="E41" t="s">
        <v>427</v>
      </c>
    </row>
    <row r="43" spans="1:8" x14ac:dyDescent="0.3">
      <c r="A43" t="s">
        <v>399</v>
      </c>
    </row>
    <row r="44" spans="1:8" x14ac:dyDescent="0.3">
      <c r="A44" t="s">
        <v>613</v>
      </c>
      <c r="B44">
        <v>231</v>
      </c>
      <c r="C44" t="s">
        <v>5</v>
      </c>
      <c r="D44" t="s">
        <v>427</v>
      </c>
      <c r="H44" t="s">
        <v>614</v>
      </c>
    </row>
    <row r="45" spans="1:8" x14ac:dyDescent="0.3">
      <c r="A45" t="s">
        <v>615</v>
      </c>
      <c r="B45">
        <v>21</v>
      </c>
      <c r="C45" t="s">
        <v>5</v>
      </c>
      <c r="D45" t="s">
        <v>427</v>
      </c>
      <c r="H45" t="s">
        <v>616</v>
      </c>
    </row>
    <row r="46" spans="1:8" x14ac:dyDescent="0.3">
      <c r="A46" t="s">
        <v>617</v>
      </c>
      <c r="B46">
        <v>62</v>
      </c>
      <c r="C46" t="s">
        <v>5</v>
      </c>
      <c r="D46" t="s">
        <v>427</v>
      </c>
      <c r="H46" t="s">
        <v>618</v>
      </c>
    </row>
    <row r="47" spans="1:8" x14ac:dyDescent="0.3">
      <c r="A47" t="s">
        <v>619</v>
      </c>
      <c r="B47">
        <v>14</v>
      </c>
      <c r="C47" t="s">
        <v>599</v>
      </c>
      <c r="D47" t="s">
        <v>427</v>
      </c>
    </row>
    <row r="49" spans="1:9" x14ac:dyDescent="0.3">
      <c r="A49" t="s">
        <v>419</v>
      </c>
    </row>
    <row r="50" spans="1:9" x14ac:dyDescent="0.3">
      <c r="A50" t="s">
        <v>601</v>
      </c>
      <c r="B50">
        <v>25</v>
      </c>
      <c r="C50" t="s">
        <v>10</v>
      </c>
      <c r="D50" t="s">
        <v>427</v>
      </c>
    </row>
    <row r="51" spans="1:9" x14ac:dyDescent="0.3">
      <c r="A51" t="s">
        <v>620</v>
      </c>
      <c r="B51">
        <v>4921</v>
      </c>
      <c r="C51" t="s">
        <v>12</v>
      </c>
      <c r="D51" t="s">
        <v>427</v>
      </c>
    </row>
    <row r="53" spans="1:9" x14ac:dyDescent="0.3">
      <c r="A53" t="s">
        <v>420</v>
      </c>
    </row>
    <row r="54" spans="1:9" x14ac:dyDescent="0.3">
      <c r="A54" t="s">
        <v>621</v>
      </c>
      <c r="C54">
        <v>14.5</v>
      </c>
      <c r="D54" t="s">
        <v>5</v>
      </c>
      <c r="E54" t="s">
        <v>427</v>
      </c>
    </row>
    <row r="55" spans="1:9" x14ac:dyDescent="0.3">
      <c r="A55" t="s">
        <v>622</v>
      </c>
      <c r="C55">
        <v>8.8000000000000007</v>
      </c>
      <c r="D55" t="s">
        <v>5</v>
      </c>
      <c r="E55" t="s">
        <v>427</v>
      </c>
    </row>
    <row r="57" spans="1:9" x14ac:dyDescent="0.3">
      <c r="A57" t="s">
        <v>424</v>
      </c>
    </row>
    <row r="58" spans="1:9" x14ac:dyDescent="0.3">
      <c r="A58" t="s">
        <v>623</v>
      </c>
      <c r="C58">
        <v>397</v>
      </c>
      <c r="D58" t="s">
        <v>5</v>
      </c>
      <c r="E58" t="s">
        <v>624</v>
      </c>
      <c r="G58">
        <v>383</v>
      </c>
      <c r="H58">
        <v>397</v>
      </c>
      <c r="I58" t="s">
        <v>625</v>
      </c>
    </row>
    <row r="59" spans="1:9" x14ac:dyDescent="0.3">
      <c r="A59" t="s">
        <v>626</v>
      </c>
      <c r="C59">
        <v>0.4</v>
      </c>
      <c r="D59" t="s">
        <v>5</v>
      </c>
      <c r="E59" t="s">
        <v>624</v>
      </c>
      <c r="G59">
        <v>0.4</v>
      </c>
      <c r="H59">
        <v>12.4</v>
      </c>
      <c r="I59" t="s">
        <v>627</v>
      </c>
    </row>
    <row r="61" spans="1:9" x14ac:dyDescent="0.3">
      <c r="A61" t="s">
        <v>432</v>
      </c>
    </row>
    <row r="63" spans="1:9" x14ac:dyDescent="0.3">
      <c r="A63" t="s">
        <v>433</v>
      </c>
    </row>
    <row r="65" spans="1:1" x14ac:dyDescent="0.3">
      <c r="A65" t="s">
        <v>434</v>
      </c>
    </row>
    <row r="67" spans="1:1" x14ac:dyDescent="0.3">
      <c r="A67" t="s">
        <v>435</v>
      </c>
    </row>
    <row r="69" spans="1:1" x14ac:dyDescent="0.3">
      <c r="A69" t="s">
        <v>436</v>
      </c>
    </row>
    <row r="71" spans="1:1" x14ac:dyDescent="0.3">
      <c r="A71" t="s">
        <v>437</v>
      </c>
    </row>
    <row r="73" spans="1:1" x14ac:dyDescent="0.3">
      <c r="A73" t="s">
        <v>442</v>
      </c>
    </row>
    <row r="75" spans="1:1" x14ac:dyDescent="0.3">
      <c r="A75" t="s">
        <v>443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F221-5637-45BF-A893-C13BB0A8055B}">
  <sheetPr codeName="Sheet65"/>
  <dimension ref="A1:R46"/>
  <sheetViews>
    <sheetView workbookViewId="0">
      <selection activeCell="Q19" sqref="Q19"/>
    </sheetView>
  </sheetViews>
  <sheetFormatPr defaultRowHeight="14.4" x14ac:dyDescent="0.3"/>
  <cols>
    <col min="17" max="17" width="11" bestFit="1" customWidth="1"/>
  </cols>
  <sheetData>
    <row r="1" spans="1:18" x14ac:dyDescent="0.3">
      <c r="A1" t="s">
        <v>221</v>
      </c>
    </row>
    <row r="2" spans="1:18" x14ac:dyDescent="0.3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</row>
    <row r="3" spans="1:18" x14ac:dyDescent="0.3">
      <c r="B3" t="s">
        <v>113</v>
      </c>
      <c r="C3" t="s">
        <v>222</v>
      </c>
      <c r="D3" t="s">
        <v>223</v>
      </c>
      <c r="F3" t="s">
        <v>223</v>
      </c>
      <c r="G3" t="s">
        <v>224</v>
      </c>
      <c r="H3" t="s">
        <v>225</v>
      </c>
      <c r="I3" t="s">
        <v>225</v>
      </c>
      <c r="J3" t="s">
        <v>225</v>
      </c>
      <c r="K3" t="s">
        <v>225</v>
      </c>
      <c r="L3" t="s">
        <v>225</v>
      </c>
      <c r="M3" t="s">
        <v>224</v>
      </c>
    </row>
    <row r="4" spans="1:18" x14ac:dyDescent="0.3">
      <c r="B4" t="s">
        <v>70</v>
      </c>
      <c r="C4" t="s">
        <v>226</v>
      </c>
      <c r="D4" t="s">
        <v>225</v>
      </c>
      <c r="F4" t="s">
        <v>225</v>
      </c>
      <c r="G4" t="s">
        <v>226</v>
      </c>
      <c r="H4" t="s">
        <v>225</v>
      </c>
      <c r="I4" t="s">
        <v>225</v>
      </c>
      <c r="J4" t="s">
        <v>225</v>
      </c>
      <c r="K4" t="s">
        <v>225</v>
      </c>
      <c r="L4" t="s">
        <v>225</v>
      </c>
      <c r="M4" t="s">
        <v>226</v>
      </c>
    </row>
    <row r="5" spans="1:18" x14ac:dyDescent="0.3">
      <c r="B5" t="s">
        <v>71</v>
      </c>
      <c r="C5" t="s">
        <v>227</v>
      </c>
      <c r="D5" t="s">
        <v>225</v>
      </c>
      <c r="F5" t="s">
        <v>225</v>
      </c>
      <c r="G5" t="s">
        <v>227</v>
      </c>
      <c r="H5" t="s">
        <v>225</v>
      </c>
      <c r="I5" t="s">
        <v>225</v>
      </c>
      <c r="J5" t="s">
        <v>225</v>
      </c>
      <c r="K5" t="s">
        <v>225</v>
      </c>
      <c r="L5" t="s">
        <v>225</v>
      </c>
      <c r="M5" t="s">
        <v>227</v>
      </c>
    </row>
    <row r="6" spans="1:18" x14ac:dyDescent="0.3">
      <c r="B6" t="s">
        <v>72</v>
      </c>
      <c r="C6" t="s">
        <v>228</v>
      </c>
      <c r="D6" t="s">
        <v>225</v>
      </c>
      <c r="F6" t="s">
        <v>225</v>
      </c>
      <c r="G6" t="s">
        <v>228</v>
      </c>
      <c r="H6" t="s">
        <v>225</v>
      </c>
      <c r="I6" t="s">
        <v>225</v>
      </c>
      <c r="J6" t="s">
        <v>225</v>
      </c>
      <c r="K6" t="s">
        <v>225</v>
      </c>
      <c r="L6" t="s">
        <v>225</v>
      </c>
      <c r="M6" t="s">
        <v>228</v>
      </c>
    </row>
    <row r="7" spans="1:18" x14ac:dyDescent="0.3">
      <c r="B7" t="s">
        <v>76</v>
      </c>
      <c r="C7" t="s">
        <v>229</v>
      </c>
      <c r="D7" t="s">
        <v>225</v>
      </c>
      <c r="F7" t="s">
        <v>225</v>
      </c>
      <c r="G7" t="s">
        <v>229</v>
      </c>
      <c r="H7" t="s">
        <v>225</v>
      </c>
      <c r="I7" t="s">
        <v>225</v>
      </c>
      <c r="J7" t="s">
        <v>225</v>
      </c>
      <c r="K7" t="s">
        <v>225</v>
      </c>
      <c r="L7" t="s">
        <v>225</v>
      </c>
      <c r="M7" t="s">
        <v>229</v>
      </c>
    </row>
    <row r="8" spans="1:18" x14ac:dyDescent="0.3">
      <c r="B8" t="s">
        <v>49</v>
      </c>
      <c r="C8" t="s">
        <v>230</v>
      </c>
      <c r="G8" t="s">
        <v>230</v>
      </c>
      <c r="M8" t="s">
        <v>230</v>
      </c>
    </row>
    <row r="9" spans="1:18" x14ac:dyDescent="0.3">
      <c r="B9" t="s">
        <v>50</v>
      </c>
      <c r="C9" t="s">
        <v>231</v>
      </c>
      <c r="G9" t="s">
        <v>231</v>
      </c>
      <c r="M9" t="s">
        <v>231</v>
      </c>
    </row>
    <row r="10" spans="1:18" x14ac:dyDescent="0.3">
      <c r="B10" t="s">
        <v>51</v>
      </c>
      <c r="C10" t="s">
        <v>232</v>
      </c>
      <c r="G10" t="s">
        <v>232</v>
      </c>
      <c r="M10" t="s">
        <v>232</v>
      </c>
    </row>
    <row r="11" spans="1:18" x14ac:dyDescent="0.3">
      <c r="B11" t="s">
        <v>52</v>
      </c>
      <c r="C11" t="s">
        <v>233</v>
      </c>
      <c r="G11" t="s">
        <v>233</v>
      </c>
      <c r="M11" t="s">
        <v>233</v>
      </c>
    </row>
    <row r="12" spans="1:18" x14ac:dyDescent="0.3">
      <c r="B12" t="s">
        <v>32</v>
      </c>
      <c r="C12" t="s">
        <v>234</v>
      </c>
      <c r="D12" t="s">
        <v>235</v>
      </c>
      <c r="F12" t="s">
        <v>235</v>
      </c>
      <c r="G12" t="s">
        <v>236</v>
      </c>
      <c r="M12" t="s">
        <v>236</v>
      </c>
    </row>
    <row r="13" spans="1:18" x14ac:dyDescent="0.3">
      <c r="B13" t="s">
        <v>34</v>
      </c>
      <c r="C13" t="s">
        <v>237</v>
      </c>
      <c r="D13" t="s">
        <v>238</v>
      </c>
      <c r="F13" t="s">
        <v>238</v>
      </c>
      <c r="G13" t="s">
        <v>239</v>
      </c>
      <c r="M13" t="s">
        <v>239</v>
      </c>
    </row>
    <row r="14" spans="1:18" x14ac:dyDescent="0.3">
      <c r="B14" t="s">
        <v>21</v>
      </c>
      <c r="C14" t="s">
        <v>240</v>
      </c>
      <c r="D14" t="s">
        <v>241</v>
      </c>
      <c r="F14" t="s">
        <v>241</v>
      </c>
      <c r="G14" t="s">
        <v>242</v>
      </c>
      <c r="M14" t="s">
        <v>242</v>
      </c>
      <c r="P14" t="s">
        <v>21</v>
      </c>
      <c r="Q14">
        <f>73.77*10^-6</f>
        <v>7.3769999999999993E-5</v>
      </c>
      <c r="R14" t="s">
        <v>243</v>
      </c>
    </row>
    <row r="15" spans="1:18" x14ac:dyDescent="0.3">
      <c r="B15" t="s">
        <v>36</v>
      </c>
      <c r="C15" t="s">
        <v>244</v>
      </c>
      <c r="D15" t="s">
        <v>245</v>
      </c>
      <c r="F15" t="s">
        <v>245</v>
      </c>
      <c r="G15" t="s">
        <v>246</v>
      </c>
      <c r="M15" t="s">
        <v>246</v>
      </c>
    </row>
    <row r="16" spans="1:18" x14ac:dyDescent="0.3">
      <c r="B16" t="s">
        <v>37</v>
      </c>
      <c r="C16" t="s">
        <v>247</v>
      </c>
      <c r="D16" t="s">
        <v>248</v>
      </c>
      <c r="F16" t="s">
        <v>248</v>
      </c>
      <c r="G16" t="s">
        <v>249</v>
      </c>
      <c r="M16" t="s">
        <v>249</v>
      </c>
    </row>
    <row r="17" spans="2:18" x14ac:dyDescent="0.3">
      <c r="B17" t="s">
        <v>22</v>
      </c>
      <c r="C17" t="s">
        <v>250</v>
      </c>
      <c r="D17" t="s">
        <v>251</v>
      </c>
      <c r="F17" t="s">
        <v>251</v>
      </c>
      <c r="G17" t="s">
        <v>250</v>
      </c>
      <c r="M17" t="s">
        <v>250</v>
      </c>
      <c r="P17" t="s">
        <v>22</v>
      </c>
      <c r="Q17">
        <f>15.85*10^-6</f>
        <v>1.5849999999999999E-5</v>
      </c>
      <c r="R17" t="s">
        <v>243</v>
      </c>
    </row>
    <row r="18" spans="2:18" x14ac:dyDescent="0.3">
      <c r="B18" t="s">
        <v>19</v>
      </c>
      <c r="C18" t="s">
        <v>252</v>
      </c>
      <c r="D18" t="s">
        <v>253</v>
      </c>
      <c r="F18" t="s">
        <v>253</v>
      </c>
      <c r="G18" t="s">
        <v>254</v>
      </c>
      <c r="M18" t="s">
        <v>254</v>
      </c>
      <c r="P18" t="s">
        <v>19</v>
      </c>
      <c r="Q18">
        <f>0.17*10^-3</f>
        <v>1.7000000000000001E-4</v>
      </c>
      <c r="R18" t="s">
        <v>243</v>
      </c>
    </row>
    <row r="19" spans="2:18" x14ac:dyDescent="0.3">
      <c r="B19" t="s">
        <v>18</v>
      </c>
      <c r="C19" t="s">
        <v>255</v>
      </c>
      <c r="D19" t="s">
        <v>256</v>
      </c>
      <c r="F19" t="s">
        <v>256</v>
      </c>
      <c r="G19" t="s">
        <v>257</v>
      </c>
      <c r="M19" t="s">
        <v>257</v>
      </c>
      <c r="P19" t="s">
        <v>18</v>
      </c>
      <c r="Q19">
        <f>88.3*10^-3</f>
        <v>8.8300000000000003E-2</v>
      </c>
      <c r="R19" t="s">
        <v>243</v>
      </c>
    </row>
    <row r="20" spans="2:18" x14ac:dyDescent="0.3">
      <c r="B20" t="s">
        <v>20</v>
      </c>
      <c r="C20" t="s">
        <v>258</v>
      </c>
      <c r="D20" t="s">
        <v>259</v>
      </c>
      <c r="F20" t="s">
        <v>259</v>
      </c>
      <c r="G20" t="s">
        <v>260</v>
      </c>
      <c r="M20" t="s">
        <v>260</v>
      </c>
      <c r="P20" t="s">
        <v>20</v>
      </c>
      <c r="Q20">
        <f>0.39*10^-6</f>
        <v>3.8999999999999997E-7</v>
      </c>
      <c r="R20" t="s">
        <v>243</v>
      </c>
    </row>
    <row r="21" spans="2:18" x14ac:dyDescent="0.3">
      <c r="B21" t="s">
        <v>23</v>
      </c>
      <c r="C21" t="s">
        <v>261</v>
      </c>
      <c r="D21" t="s">
        <v>262</v>
      </c>
      <c r="F21" t="s">
        <v>262</v>
      </c>
      <c r="G21" t="s">
        <v>263</v>
      </c>
      <c r="M21" t="s">
        <v>263</v>
      </c>
      <c r="P21" t="s">
        <v>23</v>
      </c>
      <c r="Q21">
        <f>0.37*10^-6</f>
        <v>3.7E-7</v>
      </c>
      <c r="R21" t="s">
        <v>264</v>
      </c>
    </row>
    <row r="22" spans="2:18" x14ac:dyDescent="0.3">
      <c r="B22" t="s">
        <v>38</v>
      </c>
      <c r="C22" t="s">
        <v>265</v>
      </c>
      <c r="D22" t="s">
        <v>266</v>
      </c>
      <c r="F22" t="s">
        <v>266</v>
      </c>
      <c r="G22" t="s">
        <v>267</v>
      </c>
      <c r="M22" t="s">
        <v>267</v>
      </c>
      <c r="P22" t="s">
        <v>24</v>
      </c>
      <c r="Q22">
        <f>0.66*10^-6</f>
        <v>6.6000000000000003E-7</v>
      </c>
      <c r="R22" t="s">
        <v>243</v>
      </c>
    </row>
    <row r="23" spans="2:18" x14ac:dyDescent="0.3">
      <c r="B23" t="s">
        <v>31</v>
      </c>
      <c r="C23" t="s">
        <v>268</v>
      </c>
      <c r="D23" t="s">
        <v>251</v>
      </c>
      <c r="F23" t="s">
        <v>251</v>
      </c>
      <c r="G23" t="s">
        <v>268</v>
      </c>
      <c r="M23" t="s">
        <v>268</v>
      </c>
    </row>
    <row r="24" spans="2:18" x14ac:dyDescent="0.3">
      <c r="B24" t="s">
        <v>41</v>
      </c>
      <c r="C24" t="s">
        <v>269</v>
      </c>
      <c r="D24" t="s">
        <v>270</v>
      </c>
      <c r="F24" t="s">
        <v>271</v>
      </c>
      <c r="G24" t="s">
        <v>272</v>
      </c>
      <c r="M24" t="s">
        <v>272</v>
      </c>
    </row>
    <row r="25" spans="2:18" x14ac:dyDescent="0.3">
      <c r="B25" t="s">
        <v>158</v>
      </c>
      <c r="C25" t="s">
        <v>273</v>
      </c>
      <c r="D25" t="s">
        <v>274</v>
      </c>
      <c r="F25" t="s">
        <v>274</v>
      </c>
      <c r="G25" t="s">
        <v>275</v>
      </c>
      <c r="M25" t="s">
        <v>275</v>
      </c>
    </row>
    <row r="26" spans="2:18" x14ac:dyDescent="0.3">
      <c r="B26" t="s">
        <v>162</v>
      </c>
      <c r="C26" t="s">
        <v>276</v>
      </c>
      <c r="D26" t="s">
        <v>277</v>
      </c>
      <c r="F26" t="s">
        <v>277</v>
      </c>
      <c r="G26" t="s">
        <v>278</v>
      </c>
      <c r="M26" t="s">
        <v>278</v>
      </c>
    </row>
    <row r="27" spans="2:18" x14ac:dyDescent="0.3">
      <c r="B27" t="s">
        <v>166</v>
      </c>
      <c r="C27" t="s">
        <v>279</v>
      </c>
      <c r="D27" t="s">
        <v>280</v>
      </c>
      <c r="F27" t="s">
        <v>280</v>
      </c>
      <c r="G27" t="s">
        <v>281</v>
      </c>
      <c r="M27" t="s">
        <v>281</v>
      </c>
    </row>
    <row r="28" spans="2:18" x14ac:dyDescent="0.3">
      <c r="B28" t="s">
        <v>170</v>
      </c>
      <c r="C28" t="s">
        <v>282</v>
      </c>
      <c r="D28" t="s">
        <v>283</v>
      </c>
      <c r="F28" t="s">
        <v>283</v>
      </c>
      <c r="G28" t="s">
        <v>284</v>
      </c>
      <c r="M28" t="s">
        <v>284</v>
      </c>
    </row>
    <row r="29" spans="2:18" x14ac:dyDescent="0.3">
      <c r="B29" t="s">
        <v>174</v>
      </c>
      <c r="C29" t="s">
        <v>285</v>
      </c>
      <c r="D29" t="s">
        <v>286</v>
      </c>
      <c r="F29" t="s">
        <v>286</v>
      </c>
      <c r="G29" t="s">
        <v>287</v>
      </c>
      <c r="M29" t="s">
        <v>287</v>
      </c>
    </row>
    <row r="30" spans="2:18" x14ac:dyDescent="0.3">
      <c r="B30" t="s">
        <v>178</v>
      </c>
      <c r="C30" t="s">
        <v>288</v>
      </c>
      <c r="D30" t="s">
        <v>251</v>
      </c>
      <c r="F30" t="s">
        <v>251</v>
      </c>
      <c r="G30" t="s">
        <v>288</v>
      </c>
      <c r="M30" t="s">
        <v>288</v>
      </c>
    </row>
    <row r="31" spans="2:18" x14ac:dyDescent="0.3">
      <c r="B31" t="s">
        <v>180</v>
      </c>
      <c r="C31" t="s">
        <v>289</v>
      </c>
      <c r="D31" t="s">
        <v>290</v>
      </c>
      <c r="F31" t="s">
        <v>290</v>
      </c>
      <c r="G31" t="s">
        <v>291</v>
      </c>
      <c r="M31" t="s">
        <v>291</v>
      </c>
    </row>
    <row r="32" spans="2:18" x14ac:dyDescent="0.3">
      <c r="B32" t="s">
        <v>184</v>
      </c>
      <c r="C32" t="s">
        <v>292</v>
      </c>
      <c r="D32" t="s">
        <v>293</v>
      </c>
      <c r="F32" t="s">
        <v>293</v>
      </c>
      <c r="G32" t="s">
        <v>294</v>
      </c>
      <c r="M32" t="s">
        <v>294</v>
      </c>
    </row>
    <row r="33" spans="2:13" x14ac:dyDescent="0.3">
      <c r="B33" t="s">
        <v>188</v>
      </c>
      <c r="C33" t="s">
        <v>295</v>
      </c>
      <c r="D33" t="s">
        <v>296</v>
      </c>
      <c r="F33" t="s">
        <v>296</v>
      </c>
      <c r="G33" t="s">
        <v>297</v>
      </c>
      <c r="M33" t="s">
        <v>297</v>
      </c>
    </row>
    <row r="34" spans="2:13" x14ac:dyDescent="0.3">
      <c r="B34" t="s">
        <v>192</v>
      </c>
      <c r="C34" t="s">
        <v>298</v>
      </c>
      <c r="D34" t="s">
        <v>299</v>
      </c>
      <c r="F34" t="s">
        <v>299</v>
      </c>
      <c r="G34" t="s">
        <v>300</v>
      </c>
      <c r="M34" t="s">
        <v>300</v>
      </c>
    </row>
    <row r="35" spans="2:13" x14ac:dyDescent="0.3">
      <c r="B35" t="s">
        <v>194</v>
      </c>
      <c r="C35" t="s">
        <v>301</v>
      </c>
      <c r="D35" t="s">
        <v>302</v>
      </c>
      <c r="F35" t="s">
        <v>302</v>
      </c>
      <c r="G35" t="s">
        <v>259</v>
      </c>
      <c r="M35" t="s">
        <v>259</v>
      </c>
    </row>
    <row r="36" spans="2:13" x14ac:dyDescent="0.3">
      <c r="B36" t="s">
        <v>196</v>
      </c>
      <c r="C36" t="s">
        <v>303</v>
      </c>
      <c r="D36" t="s">
        <v>251</v>
      </c>
      <c r="F36" t="s">
        <v>251</v>
      </c>
      <c r="G36" t="s">
        <v>303</v>
      </c>
      <c r="M36" t="s">
        <v>303</v>
      </c>
    </row>
    <row r="37" spans="2:13" x14ac:dyDescent="0.3">
      <c r="B37" t="s">
        <v>304</v>
      </c>
      <c r="E37" t="s">
        <v>297</v>
      </c>
      <c r="F37" t="s">
        <v>297</v>
      </c>
      <c r="G37" t="s">
        <v>297</v>
      </c>
      <c r="M37" t="s">
        <v>297</v>
      </c>
    </row>
    <row r="38" spans="2:13" x14ac:dyDescent="0.3">
      <c r="B38" t="s">
        <v>305</v>
      </c>
      <c r="E38" t="s">
        <v>266</v>
      </c>
      <c r="F38" t="s">
        <v>266</v>
      </c>
      <c r="G38" t="s">
        <v>266</v>
      </c>
      <c r="M38" t="s">
        <v>266</v>
      </c>
    </row>
    <row r="39" spans="2:13" x14ac:dyDescent="0.3">
      <c r="B39" t="s">
        <v>306</v>
      </c>
      <c r="E39" t="s">
        <v>307</v>
      </c>
      <c r="F39" t="s">
        <v>307</v>
      </c>
      <c r="G39" t="s">
        <v>307</v>
      </c>
      <c r="M39" t="s">
        <v>307</v>
      </c>
    </row>
    <row r="40" spans="2:13" x14ac:dyDescent="0.3">
      <c r="B40" t="s">
        <v>308</v>
      </c>
      <c r="E40" t="s">
        <v>309</v>
      </c>
      <c r="F40" t="s">
        <v>309</v>
      </c>
      <c r="G40" t="s">
        <v>309</v>
      </c>
      <c r="M40" t="s">
        <v>309</v>
      </c>
    </row>
    <row r="41" spans="2:13" x14ac:dyDescent="0.3">
      <c r="B41" t="s">
        <v>310</v>
      </c>
      <c r="E41" t="s">
        <v>311</v>
      </c>
      <c r="F41" t="s">
        <v>311</v>
      </c>
      <c r="G41" t="s">
        <v>311</v>
      </c>
      <c r="M41" t="s">
        <v>311</v>
      </c>
    </row>
    <row r="42" spans="2:13" x14ac:dyDescent="0.3">
      <c r="B42" t="s">
        <v>312</v>
      </c>
      <c r="F42" t="s">
        <v>313</v>
      </c>
      <c r="G42" t="s">
        <v>313</v>
      </c>
      <c r="M42" t="s">
        <v>313</v>
      </c>
    </row>
    <row r="43" spans="2:13" x14ac:dyDescent="0.3">
      <c r="B43" t="s">
        <v>314</v>
      </c>
      <c r="F43" t="s">
        <v>315</v>
      </c>
      <c r="G43" t="s">
        <v>315</v>
      </c>
      <c r="M43" t="s">
        <v>315</v>
      </c>
    </row>
    <row r="44" spans="2:13" x14ac:dyDescent="0.3">
      <c r="B44" t="s">
        <v>316</v>
      </c>
      <c r="F44" t="s">
        <v>317</v>
      </c>
      <c r="G44" t="s">
        <v>317</v>
      </c>
      <c r="M44" t="s">
        <v>317</v>
      </c>
    </row>
    <row r="45" spans="2:13" x14ac:dyDescent="0.3">
      <c r="B45" t="s">
        <v>318</v>
      </c>
      <c r="F45" t="s">
        <v>319</v>
      </c>
      <c r="G45" t="s">
        <v>319</v>
      </c>
      <c r="M45" t="s">
        <v>319</v>
      </c>
    </row>
    <row r="46" spans="2:13" x14ac:dyDescent="0.3">
      <c r="B46" t="s">
        <v>320</v>
      </c>
      <c r="F46" t="s">
        <v>321</v>
      </c>
      <c r="G46" t="s">
        <v>321</v>
      </c>
      <c r="M46" t="s">
        <v>321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2F79-8F4E-454F-BF9D-6319C1EB59EB}">
  <sheetPr codeName="Sheet58"/>
  <dimension ref="A1:C71"/>
  <sheetViews>
    <sheetView workbookViewId="0">
      <selection activeCell="A19" sqref="A19"/>
    </sheetView>
  </sheetViews>
  <sheetFormatPr defaultRowHeight="14.4" x14ac:dyDescent="0.3"/>
  <cols>
    <col min="1" max="1" width="40.88671875" customWidth="1"/>
  </cols>
  <sheetData>
    <row r="1" spans="1:3" x14ac:dyDescent="0.3">
      <c r="A1" t="s">
        <v>572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3.13</v>
      </c>
      <c r="C5" t="s">
        <v>5</v>
      </c>
    </row>
    <row r="6" spans="1:3" x14ac:dyDescent="0.3">
      <c r="A6" t="s">
        <v>18</v>
      </c>
      <c r="B6">
        <v>3.13</v>
      </c>
      <c r="C6" t="s">
        <v>5</v>
      </c>
    </row>
    <row r="7" spans="1:3" x14ac:dyDescent="0.3">
      <c r="A7" t="s">
        <v>31</v>
      </c>
      <c r="B7" s="2">
        <v>-9.3499999999999996E-4</v>
      </c>
      <c r="C7" t="s">
        <v>5</v>
      </c>
    </row>
    <row r="8" spans="1:3" x14ac:dyDescent="0.3">
      <c r="A8" t="s">
        <v>32</v>
      </c>
      <c r="B8">
        <v>1.25</v>
      </c>
      <c r="C8" t="s">
        <v>35</v>
      </c>
    </row>
    <row r="9" spans="1:3" x14ac:dyDescent="0.3">
      <c r="A9" t="s">
        <v>34</v>
      </c>
      <c r="B9">
        <v>1.1599999999999999</v>
      </c>
      <c r="C9" t="s">
        <v>35</v>
      </c>
    </row>
    <row r="10" spans="1:3" x14ac:dyDescent="0.3">
      <c r="A10" t="s">
        <v>21</v>
      </c>
      <c r="B10">
        <v>6.64</v>
      </c>
      <c r="C10" t="s">
        <v>35</v>
      </c>
    </row>
    <row r="11" spans="1:3" x14ac:dyDescent="0.3">
      <c r="A11" t="s">
        <v>36</v>
      </c>
      <c r="B11">
        <v>1.1200000000000001</v>
      </c>
      <c r="C11" t="s">
        <v>35</v>
      </c>
    </row>
    <row r="12" spans="1:3" x14ac:dyDescent="0.3">
      <c r="A12" t="s">
        <v>37</v>
      </c>
      <c r="B12">
        <v>0.55000000000000004</v>
      </c>
      <c r="C12" t="s">
        <v>35</v>
      </c>
    </row>
    <row r="13" spans="1:3" x14ac:dyDescent="0.3">
      <c r="A13" t="s">
        <v>22</v>
      </c>
      <c r="B13">
        <v>20.329999999999998</v>
      </c>
      <c r="C13" t="s">
        <v>35</v>
      </c>
    </row>
    <row r="14" spans="1:3" x14ac:dyDescent="0.3">
      <c r="A14" t="s">
        <v>19</v>
      </c>
      <c r="B14">
        <v>3.59</v>
      </c>
      <c r="C14" t="s">
        <v>35</v>
      </c>
    </row>
    <row r="15" spans="1:3" x14ac:dyDescent="0.3">
      <c r="A15" t="s">
        <v>20</v>
      </c>
      <c r="B15">
        <v>62.2</v>
      </c>
      <c r="C15" t="s">
        <v>33</v>
      </c>
    </row>
    <row r="16" spans="1:3" x14ac:dyDescent="0.3">
      <c r="A16" t="s">
        <v>23</v>
      </c>
      <c r="B16">
        <v>41.51</v>
      </c>
      <c r="C16" t="s">
        <v>33</v>
      </c>
    </row>
    <row r="17" spans="1:3" x14ac:dyDescent="0.3">
      <c r="A17" t="s">
        <v>38</v>
      </c>
      <c r="B17">
        <v>45.94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40</v>
      </c>
      <c r="B19">
        <v>3.26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54</v>
      </c>
      <c r="C24" t="s">
        <v>12</v>
      </c>
    </row>
    <row r="25" spans="1:3" x14ac:dyDescent="0.3">
      <c r="A25" t="s">
        <v>47</v>
      </c>
      <c r="B25">
        <v>4855.84</v>
      </c>
      <c r="C25" t="s">
        <v>48</v>
      </c>
    </row>
    <row r="26" spans="1:3" x14ac:dyDescent="0.3">
      <c r="A26" t="s">
        <v>51</v>
      </c>
      <c r="B26">
        <v>2731.16</v>
      </c>
      <c r="C26" t="s">
        <v>48</v>
      </c>
    </row>
    <row r="27" spans="1:3" x14ac:dyDescent="0.3">
      <c r="A27" t="s">
        <v>52</v>
      </c>
      <c r="B27">
        <v>1283.73</v>
      </c>
      <c r="C27" t="s">
        <v>48</v>
      </c>
    </row>
    <row r="28" spans="1:3" x14ac:dyDescent="0.3">
      <c r="A28" t="s">
        <v>49</v>
      </c>
      <c r="B28">
        <v>527.9</v>
      </c>
      <c r="C28" t="s">
        <v>48</v>
      </c>
    </row>
    <row r="29" spans="1:3" x14ac:dyDescent="0.3">
      <c r="A29" t="s">
        <v>50</v>
      </c>
      <c r="B29">
        <v>313.06</v>
      </c>
      <c r="C29" t="s">
        <v>48</v>
      </c>
    </row>
    <row r="30" spans="1:3" x14ac:dyDescent="0.3">
      <c r="A30" t="s">
        <v>53</v>
      </c>
      <c r="B30">
        <v>34</v>
      </c>
      <c r="C30" t="s">
        <v>12</v>
      </c>
    </row>
    <row r="31" spans="1:3" x14ac:dyDescent="0.3">
      <c r="A31" t="s">
        <v>54</v>
      </c>
      <c r="B31">
        <v>6091</v>
      </c>
      <c r="C31" t="s">
        <v>46</v>
      </c>
    </row>
    <row r="32" spans="1:3" x14ac:dyDescent="0.3">
      <c r="A32" t="s">
        <v>55</v>
      </c>
      <c r="B32">
        <v>832.97</v>
      </c>
      <c r="C32" t="s">
        <v>46</v>
      </c>
    </row>
    <row r="33" spans="1:3" x14ac:dyDescent="0.3">
      <c r="A33" t="s">
        <v>56</v>
      </c>
      <c r="B33">
        <v>10.199999999999999</v>
      </c>
      <c r="C33" t="s">
        <v>46</v>
      </c>
    </row>
    <row r="34" spans="1:3" x14ac:dyDescent="0.3">
      <c r="A34" t="s">
        <v>57</v>
      </c>
      <c r="B34">
        <v>58.72</v>
      </c>
      <c r="C34" t="s">
        <v>46</v>
      </c>
    </row>
    <row r="35" spans="1:3" x14ac:dyDescent="0.3">
      <c r="A35" t="s">
        <v>59</v>
      </c>
      <c r="B35">
        <v>3839.88</v>
      </c>
      <c r="C35" t="s">
        <v>58</v>
      </c>
    </row>
    <row r="36" spans="1:3" x14ac:dyDescent="0.3">
      <c r="A36" t="s">
        <v>60</v>
      </c>
      <c r="B36">
        <v>1.42</v>
      </c>
      <c r="C36" t="s">
        <v>33</v>
      </c>
    </row>
    <row r="37" spans="1:3" x14ac:dyDescent="0.3">
      <c r="A37" t="s">
        <v>61</v>
      </c>
      <c r="B37">
        <v>50.97</v>
      </c>
      <c r="C37" t="s">
        <v>46</v>
      </c>
    </row>
    <row r="38" spans="1:3" x14ac:dyDescent="0.3">
      <c r="A38" t="s">
        <v>62</v>
      </c>
      <c r="B38">
        <v>150.28</v>
      </c>
      <c r="C38" t="s">
        <v>46</v>
      </c>
    </row>
    <row r="39" spans="1:3" x14ac:dyDescent="0.3">
      <c r="A39" t="s">
        <v>63</v>
      </c>
      <c r="B39">
        <v>3276.23</v>
      </c>
      <c r="C39" t="s">
        <v>58</v>
      </c>
    </row>
    <row r="40" spans="1:3" x14ac:dyDescent="0.3">
      <c r="A40" t="s">
        <v>64</v>
      </c>
      <c r="B40">
        <v>4379.2</v>
      </c>
      <c r="C40" t="s">
        <v>58</v>
      </c>
    </row>
    <row r="41" spans="1:3" x14ac:dyDescent="0.3">
      <c r="A41" t="s">
        <v>65</v>
      </c>
      <c r="B41">
        <v>37.32</v>
      </c>
      <c r="C41" t="s">
        <v>46</v>
      </c>
    </row>
    <row r="42" spans="1:3" x14ac:dyDescent="0.3">
      <c r="A42" t="s">
        <v>66</v>
      </c>
      <c r="B42">
        <v>5091</v>
      </c>
      <c r="C42" t="s">
        <v>46</v>
      </c>
    </row>
    <row r="43" spans="1:3" x14ac:dyDescent="0.3">
      <c r="A43" t="s">
        <v>67</v>
      </c>
      <c r="B43">
        <v>3509</v>
      </c>
      <c r="C43" t="s">
        <v>46</v>
      </c>
    </row>
    <row r="44" spans="1:3" x14ac:dyDescent="0.3">
      <c r="A44" t="s">
        <v>68</v>
      </c>
      <c r="B44">
        <v>4223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54</v>
      </c>
      <c r="C46" t="s">
        <v>12</v>
      </c>
    </row>
    <row r="47" spans="1:3" x14ac:dyDescent="0.3">
      <c r="A47" t="s">
        <v>76</v>
      </c>
      <c r="B47">
        <v>47</v>
      </c>
      <c r="C47" t="s">
        <v>12</v>
      </c>
    </row>
    <row r="48" spans="1:3" x14ac:dyDescent="0.3">
      <c r="A48" t="s">
        <v>72</v>
      </c>
      <c r="B48">
        <v>6091</v>
      </c>
      <c r="C48" t="s">
        <v>46</v>
      </c>
    </row>
    <row r="49" spans="1:3" x14ac:dyDescent="0.3">
      <c r="A49" t="s">
        <v>71</v>
      </c>
      <c r="B49">
        <v>832.97</v>
      </c>
      <c r="C49" t="s">
        <v>46</v>
      </c>
    </row>
    <row r="50" spans="1:3" x14ac:dyDescent="0.3">
      <c r="A50" t="s">
        <v>73</v>
      </c>
      <c r="B50">
        <v>260.25</v>
      </c>
      <c r="C50" t="s">
        <v>46</v>
      </c>
    </row>
    <row r="51" spans="1:3" x14ac:dyDescent="0.3">
      <c r="A51" t="s">
        <v>74</v>
      </c>
      <c r="B51">
        <v>150.28</v>
      </c>
      <c r="C51" t="s">
        <v>46</v>
      </c>
    </row>
    <row r="52" spans="1:3" x14ac:dyDescent="0.3">
      <c r="A52" t="s">
        <v>75</v>
      </c>
      <c r="B52">
        <v>109.98</v>
      </c>
      <c r="C52" t="s">
        <v>46</v>
      </c>
    </row>
    <row r="53" spans="1:3" x14ac:dyDescent="0.3">
      <c r="A53" t="s">
        <v>77</v>
      </c>
      <c r="B53">
        <v>10.199999999999999</v>
      </c>
      <c r="C53" t="s">
        <v>46</v>
      </c>
    </row>
    <row r="54" spans="1:3" x14ac:dyDescent="0.3">
      <c r="A54" t="s">
        <v>78</v>
      </c>
    </row>
    <row r="55" spans="1:3" x14ac:dyDescent="0.3">
      <c r="A55" t="s">
        <v>29</v>
      </c>
    </row>
    <row r="56" spans="1:3" x14ac:dyDescent="0.3">
      <c r="A56" t="s">
        <v>28</v>
      </c>
    </row>
    <row r="57" spans="1:3" x14ac:dyDescent="0.3">
      <c r="A57" t="s">
        <v>30</v>
      </c>
      <c r="B57">
        <v>0.34</v>
      </c>
      <c r="C57" t="s">
        <v>5</v>
      </c>
    </row>
    <row r="58" spans="1:3" x14ac:dyDescent="0.3">
      <c r="A58" t="s">
        <v>18</v>
      </c>
      <c r="B58">
        <v>0.34</v>
      </c>
      <c r="C58" t="s">
        <v>5</v>
      </c>
    </row>
    <row r="59" spans="1:3" x14ac:dyDescent="0.3">
      <c r="A59" t="s">
        <v>31</v>
      </c>
      <c r="B59" s="2">
        <v>-2.14E-4</v>
      </c>
      <c r="C59" t="s">
        <v>5</v>
      </c>
    </row>
    <row r="60" spans="1:3" x14ac:dyDescent="0.3">
      <c r="A60" t="s">
        <v>32</v>
      </c>
      <c r="B60">
        <v>0.67</v>
      </c>
      <c r="C60" t="s">
        <v>35</v>
      </c>
    </row>
    <row r="61" spans="1:3" x14ac:dyDescent="0.3">
      <c r="A61" t="s">
        <v>34</v>
      </c>
      <c r="B61">
        <v>0.16</v>
      </c>
      <c r="C61" t="s">
        <v>35</v>
      </c>
    </row>
    <row r="62" spans="1:3" x14ac:dyDescent="0.3">
      <c r="A62" t="s">
        <v>21</v>
      </c>
      <c r="B62">
        <v>0.36</v>
      </c>
      <c r="C62" t="s">
        <v>35</v>
      </c>
    </row>
    <row r="63" spans="1:3" x14ac:dyDescent="0.3">
      <c r="A63" t="s">
        <v>36</v>
      </c>
      <c r="B63">
        <v>37.369999999999997</v>
      </c>
      <c r="C63" t="s">
        <v>33</v>
      </c>
    </row>
    <row r="64" spans="1:3" x14ac:dyDescent="0.3">
      <c r="A64" t="s">
        <v>37</v>
      </c>
      <c r="B64">
        <v>28.34</v>
      </c>
      <c r="C64" t="s">
        <v>33</v>
      </c>
    </row>
    <row r="65" spans="1:3" x14ac:dyDescent="0.3">
      <c r="A65" t="s">
        <v>22</v>
      </c>
      <c r="B65">
        <v>0.69</v>
      </c>
      <c r="C65" t="s">
        <v>35</v>
      </c>
    </row>
    <row r="66" spans="1:3" x14ac:dyDescent="0.3">
      <c r="A66" t="s">
        <v>19</v>
      </c>
      <c r="B66">
        <v>0.11</v>
      </c>
      <c r="C66" t="s">
        <v>35</v>
      </c>
    </row>
    <row r="67" spans="1:3" x14ac:dyDescent="0.3">
      <c r="A67" t="s">
        <v>20</v>
      </c>
      <c r="B67">
        <v>4.34</v>
      </c>
      <c r="C67" t="s">
        <v>33</v>
      </c>
    </row>
    <row r="68" spans="1:3" x14ac:dyDescent="0.3">
      <c r="A68" t="s">
        <v>23</v>
      </c>
      <c r="B68">
        <v>2.62</v>
      </c>
      <c r="C68" t="s">
        <v>33</v>
      </c>
    </row>
    <row r="69" spans="1:3" x14ac:dyDescent="0.3">
      <c r="A69" t="s">
        <v>38</v>
      </c>
      <c r="B69">
        <v>6.49</v>
      </c>
      <c r="C69" t="s">
        <v>33</v>
      </c>
    </row>
    <row r="70" spans="1:3" x14ac:dyDescent="0.3">
      <c r="A70" t="s">
        <v>39</v>
      </c>
    </row>
    <row r="71" spans="1:3" x14ac:dyDescent="0.3">
      <c r="A71" t="s">
        <v>40</v>
      </c>
      <c r="B71">
        <v>0.34</v>
      </c>
      <c r="C71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A7D5-634D-4751-90D1-6808B157D4AD}">
  <sheetPr codeName="Sheet68"/>
  <dimension ref="A1:F71"/>
  <sheetViews>
    <sheetView topLeftCell="A40" workbookViewId="0">
      <selection activeCell="U48" sqref="U48"/>
    </sheetView>
  </sheetViews>
  <sheetFormatPr defaultRowHeight="14.4" x14ac:dyDescent="0.3"/>
  <cols>
    <col min="1" max="1" width="19.109375" customWidth="1"/>
  </cols>
  <sheetData>
    <row r="1" spans="1:6" x14ac:dyDescent="0.3">
      <c r="A1" t="s">
        <v>327</v>
      </c>
      <c r="B1" t="s">
        <v>328</v>
      </c>
      <c r="C1" t="s">
        <v>329</v>
      </c>
      <c r="D1" s="3">
        <v>43733</v>
      </c>
      <c r="E1" t="s">
        <v>330</v>
      </c>
      <c r="F1" s="4">
        <v>0.84423611111111108</v>
      </c>
    </row>
    <row r="5" spans="1:6" x14ac:dyDescent="0.3">
      <c r="A5" t="s">
        <v>331</v>
      </c>
    </row>
    <row r="7" spans="1:6" x14ac:dyDescent="0.3">
      <c r="A7" t="s">
        <v>332</v>
      </c>
      <c r="B7" t="s">
        <v>333</v>
      </c>
    </row>
    <row r="8" spans="1:6" x14ac:dyDescent="0.3">
      <c r="A8" t="s">
        <v>334</v>
      </c>
      <c r="B8" t="s">
        <v>589</v>
      </c>
    </row>
    <row r="9" spans="1:6" x14ac:dyDescent="0.3">
      <c r="A9" t="s">
        <v>336</v>
      </c>
    </row>
    <row r="10" spans="1:6" x14ac:dyDescent="0.3">
      <c r="A10" t="s">
        <v>338</v>
      </c>
      <c r="B10" t="s">
        <v>590</v>
      </c>
    </row>
    <row r="11" spans="1:6" x14ac:dyDescent="0.3">
      <c r="A11" t="s">
        <v>340</v>
      </c>
    </row>
    <row r="12" spans="1:6" x14ac:dyDescent="0.3">
      <c r="A12" t="s">
        <v>341</v>
      </c>
      <c r="B12" t="s">
        <v>342</v>
      </c>
    </row>
    <row r="13" spans="1:6" x14ac:dyDescent="0.3">
      <c r="A13" t="s">
        <v>343</v>
      </c>
      <c r="B13" t="s">
        <v>342</v>
      </c>
    </row>
    <row r="14" spans="1:6" x14ac:dyDescent="0.3">
      <c r="A14" t="s">
        <v>344</v>
      </c>
      <c r="B14" t="s">
        <v>342</v>
      </c>
    </row>
    <row r="15" spans="1:6" x14ac:dyDescent="0.3">
      <c r="A15" t="s">
        <v>345</v>
      </c>
      <c r="B15" t="s">
        <v>342</v>
      </c>
    </row>
    <row r="16" spans="1:6" x14ac:dyDescent="0.3">
      <c r="A16" t="s">
        <v>346</v>
      </c>
      <c r="B16" t="s">
        <v>342</v>
      </c>
    </row>
    <row r="17" spans="1:2" x14ac:dyDescent="0.3">
      <c r="A17" t="s">
        <v>347</v>
      </c>
      <c r="B17" t="s">
        <v>342</v>
      </c>
    </row>
    <row r="18" spans="1:2" x14ac:dyDescent="0.3">
      <c r="A18" t="s">
        <v>348</v>
      </c>
      <c r="B18" t="s">
        <v>342</v>
      </c>
    </row>
    <row r="19" spans="1:2" x14ac:dyDescent="0.3">
      <c r="A19" t="s">
        <v>349</v>
      </c>
      <c r="B19" t="s">
        <v>342</v>
      </c>
    </row>
    <row r="20" spans="1:2" x14ac:dyDescent="0.3">
      <c r="A20" t="s">
        <v>350</v>
      </c>
      <c r="B20" t="s">
        <v>342</v>
      </c>
    </row>
    <row r="21" spans="1:2" x14ac:dyDescent="0.3">
      <c r="A21" t="s">
        <v>351</v>
      </c>
      <c r="B21" t="s">
        <v>352</v>
      </c>
    </row>
    <row r="22" spans="1:2" x14ac:dyDescent="0.3">
      <c r="A22" t="s">
        <v>353</v>
      </c>
      <c r="B22" s="3">
        <v>37476</v>
      </c>
    </row>
    <row r="23" spans="1:2" x14ac:dyDescent="0.3">
      <c r="A23" t="s">
        <v>354</v>
      </c>
      <c r="B23" t="s">
        <v>591</v>
      </c>
    </row>
    <row r="24" spans="1:2" x14ac:dyDescent="0.3">
      <c r="A24" t="s">
        <v>357</v>
      </c>
      <c r="B24" t="s">
        <v>592</v>
      </c>
    </row>
    <row r="25" spans="1:2" x14ac:dyDescent="0.3">
      <c r="A25" t="s">
        <v>359</v>
      </c>
    </row>
    <row r="26" spans="1:2" x14ac:dyDescent="0.3">
      <c r="A26" t="s">
        <v>363</v>
      </c>
      <c r="B26" t="s">
        <v>593</v>
      </c>
    </row>
    <row r="27" spans="1:2" x14ac:dyDescent="0.3">
      <c r="A27" t="s">
        <v>365</v>
      </c>
    </row>
    <row r="28" spans="1:2" x14ac:dyDescent="0.3">
      <c r="A28" t="s">
        <v>368</v>
      </c>
    </row>
    <row r="29" spans="1:2" x14ac:dyDescent="0.3">
      <c r="A29" t="s">
        <v>372</v>
      </c>
      <c r="B29" t="s">
        <v>594</v>
      </c>
    </row>
    <row r="30" spans="1:2" x14ac:dyDescent="0.3">
      <c r="A30" t="s">
        <v>384</v>
      </c>
    </row>
    <row r="31" spans="1:2" x14ac:dyDescent="0.3">
      <c r="A31" t="s">
        <v>385</v>
      </c>
    </row>
    <row r="34" spans="1:6" x14ac:dyDescent="0.3">
      <c r="A34" t="s">
        <v>387</v>
      </c>
    </row>
    <row r="35" spans="1:6" x14ac:dyDescent="0.3">
      <c r="A35" t="s">
        <v>590</v>
      </c>
      <c r="B35">
        <v>0.8</v>
      </c>
      <c r="C35" t="s">
        <v>5</v>
      </c>
      <c r="D35">
        <v>100</v>
      </c>
      <c r="E35" t="s">
        <v>388</v>
      </c>
      <c r="F35" t="s">
        <v>595</v>
      </c>
    </row>
    <row r="37" spans="1:6" x14ac:dyDescent="0.3">
      <c r="A37" t="s">
        <v>391</v>
      </c>
    </row>
    <row r="39" spans="1:6" x14ac:dyDescent="0.3">
      <c r="A39" t="s">
        <v>45</v>
      </c>
    </row>
    <row r="41" spans="1:6" x14ac:dyDescent="0.3">
      <c r="A41" t="s">
        <v>399</v>
      </c>
    </row>
    <row r="42" spans="1:6" x14ac:dyDescent="0.3">
      <c r="A42" t="s">
        <v>596</v>
      </c>
      <c r="B42">
        <v>1</v>
      </c>
      <c r="C42" t="s">
        <v>5</v>
      </c>
      <c r="D42" t="s">
        <v>427</v>
      </c>
    </row>
    <row r="43" spans="1:6" x14ac:dyDescent="0.3">
      <c r="A43" t="s">
        <v>597</v>
      </c>
      <c r="B43">
        <v>0.01</v>
      </c>
      <c r="C43" t="s">
        <v>16</v>
      </c>
      <c r="D43" t="s">
        <v>427</v>
      </c>
    </row>
    <row r="44" spans="1:6" x14ac:dyDescent="0.3">
      <c r="A44" t="s">
        <v>598</v>
      </c>
      <c r="B44">
        <v>0.1</v>
      </c>
      <c r="C44" t="s">
        <v>599</v>
      </c>
      <c r="D44" t="s">
        <v>427</v>
      </c>
    </row>
    <row r="45" spans="1:6" x14ac:dyDescent="0.3">
      <c r="A45" t="s">
        <v>600</v>
      </c>
      <c r="B45">
        <v>40</v>
      </c>
      <c r="C45" t="s">
        <v>33</v>
      </c>
      <c r="D45" t="s">
        <v>427</v>
      </c>
    </row>
    <row r="47" spans="1:6" x14ac:dyDescent="0.3">
      <c r="A47" t="s">
        <v>419</v>
      </c>
    </row>
    <row r="48" spans="1:6" x14ac:dyDescent="0.3">
      <c r="A48" t="s">
        <v>601</v>
      </c>
      <c r="B48">
        <v>0.08</v>
      </c>
      <c r="C48" t="s">
        <v>10</v>
      </c>
      <c r="D48" t="s">
        <v>427</v>
      </c>
    </row>
    <row r="49" spans="1:4" x14ac:dyDescent="0.3">
      <c r="A49" t="s">
        <v>602</v>
      </c>
      <c r="B49">
        <v>0.1</v>
      </c>
      <c r="C49" t="s">
        <v>10</v>
      </c>
      <c r="D49" t="s">
        <v>427</v>
      </c>
    </row>
    <row r="51" spans="1:4" x14ac:dyDescent="0.3">
      <c r="A51" t="s">
        <v>420</v>
      </c>
    </row>
    <row r="53" spans="1:4" x14ac:dyDescent="0.3">
      <c r="A53" t="s">
        <v>424</v>
      </c>
    </row>
    <row r="55" spans="1:4" x14ac:dyDescent="0.3">
      <c r="A55" t="s">
        <v>432</v>
      </c>
    </row>
    <row r="57" spans="1:4" x14ac:dyDescent="0.3">
      <c r="A57" t="s">
        <v>433</v>
      </c>
    </row>
    <row r="59" spans="1:4" x14ac:dyDescent="0.3">
      <c r="A59" t="s">
        <v>434</v>
      </c>
    </row>
    <row r="61" spans="1:4" x14ac:dyDescent="0.3">
      <c r="A61" t="s">
        <v>435</v>
      </c>
    </row>
    <row r="63" spans="1:4" x14ac:dyDescent="0.3">
      <c r="A63" t="s">
        <v>436</v>
      </c>
    </row>
    <row r="65" spans="1:4" x14ac:dyDescent="0.3">
      <c r="A65" t="s">
        <v>437</v>
      </c>
    </row>
    <row r="66" spans="1:4" x14ac:dyDescent="0.3">
      <c r="A66" t="s">
        <v>603</v>
      </c>
      <c r="B66">
        <v>0.2</v>
      </c>
      <c r="C66" t="s">
        <v>5</v>
      </c>
      <c r="D66" t="s">
        <v>427</v>
      </c>
    </row>
    <row r="67" spans="1:4" x14ac:dyDescent="0.3">
      <c r="A67" t="s">
        <v>342</v>
      </c>
      <c r="B67">
        <v>0.01</v>
      </c>
      <c r="C67" t="s">
        <v>5</v>
      </c>
      <c r="D67" t="s">
        <v>427</v>
      </c>
    </row>
    <row r="69" spans="1:4" x14ac:dyDescent="0.3">
      <c r="A69" t="s">
        <v>442</v>
      </c>
    </row>
    <row r="71" spans="1:4" x14ac:dyDescent="0.3">
      <c r="A71" t="s">
        <v>443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C0C-F585-4399-AA05-2083BE7D7EAF}">
  <sheetPr codeName="Sheet56"/>
  <dimension ref="A1:C72"/>
  <sheetViews>
    <sheetView workbookViewId="0">
      <selection activeCell="F27" sqref="F27"/>
    </sheetView>
  </sheetViews>
  <sheetFormatPr defaultRowHeight="14.4" x14ac:dyDescent="0.3"/>
  <sheetData>
    <row r="1" spans="1:3" x14ac:dyDescent="0.3">
      <c r="A1" t="s">
        <v>571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0.69</v>
      </c>
      <c r="C5" t="s">
        <v>5</v>
      </c>
    </row>
    <row r="6" spans="1:3" x14ac:dyDescent="0.3">
      <c r="A6" t="s">
        <v>18</v>
      </c>
      <c r="B6">
        <v>0.69</v>
      </c>
      <c r="C6" t="s">
        <v>5</v>
      </c>
    </row>
    <row r="7" spans="1:3" x14ac:dyDescent="0.3">
      <c r="A7" t="s">
        <v>31</v>
      </c>
      <c r="B7" s="2">
        <v>-3.4200000000000002E-4</v>
      </c>
      <c r="C7" t="s">
        <v>5</v>
      </c>
    </row>
    <row r="8" spans="1:3" x14ac:dyDescent="0.3">
      <c r="A8" t="s">
        <v>32</v>
      </c>
      <c r="B8">
        <v>1.35</v>
      </c>
      <c r="C8" t="s">
        <v>35</v>
      </c>
    </row>
    <row r="9" spans="1:3" x14ac:dyDescent="0.3">
      <c r="A9" t="s">
        <v>34</v>
      </c>
      <c r="B9">
        <v>1.46</v>
      </c>
      <c r="C9" t="s">
        <v>35</v>
      </c>
    </row>
    <row r="10" spans="1:3" x14ac:dyDescent="0.3">
      <c r="A10" t="s">
        <v>21</v>
      </c>
      <c r="B10">
        <v>1.06</v>
      </c>
      <c r="C10" t="s">
        <v>35</v>
      </c>
    </row>
    <row r="11" spans="1:3" x14ac:dyDescent="0.3">
      <c r="A11" t="s">
        <v>36</v>
      </c>
      <c r="B11">
        <v>52.39</v>
      </c>
      <c r="C11" t="s">
        <v>33</v>
      </c>
    </row>
    <row r="12" spans="1:3" x14ac:dyDescent="0.3">
      <c r="A12" t="s">
        <v>37</v>
      </c>
      <c r="B12">
        <v>45.55</v>
      </c>
      <c r="C12" t="s">
        <v>33</v>
      </c>
    </row>
    <row r="13" spans="1:3" x14ac:dyDescent="0.3">
      <c r="A13" t="s">
        <v>22</v>
      </c>
      <c r="B13">
        <v>15.22</v>
      </c>
      <c r="C13" t="s">
        <v>35</v>
      </c>
    </row>
    <row r="14" spans="1:3" x14ac:dyDescent="0.3">
      <c r="A14" t="s">
        <v>19</v>
      </c>
      <c r="B14">
        <v>2.1</v>
      </c>
      <c r="C14" t="s">
        <v>35</v>
      </c>
    </row>
    <row r="15" spans="1:3" x14ac:dyDescent="0.3">
      <c r="A15" t="s">
        <v>20</v>
      </c>
      <c r="B15">
        <v>13.68</v>
      </c>
      <c r="C15" t="s">
        <v>33</v>
      </c>
    </row>
    <row r="16" spans="1:3" x14ac:dyDescent="0.3">
      <c r="A16" t="s">
        <v>23</v>
      </c>
      <c r="B16">
        <v>7.07</v>
      </c>
      <c r="C16" t="s">
        <v>33</v>
      </c>
    </row>
    <row r="17" spans="1:3" x14ac:dyDescent="0.3">
      <c r="A17" t="s">
        <v>38</v>
      </c>
      <c r="B17">
        <v>19.95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0.76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12</v>
      </c>
      <c r="C24" t="s">
        <v>12</v>
      </c>
    </row>
    <row r="25" spans="1:3" x14ac:dyDescent="0.3">
      <c r="A25" t="s">
        <v>47</v>
      </c>
      <c r="B25">
        <v>766.5</v>
      </c>
      <c r="C25" t="s">
        <v>48</v>
      </c>
    </row>
    <row r="26" spans="1:3" x14ac:dyDescent="0.3">
      <c r="A26" t="s">
        <v>52</v>
      </c>
      <c r="B26">
        <v>537.46</v>
      </c>
      <c r="C26" t="s">
        <v>48</v>
      </c>
    </row>
    <row r="27" spans="1:3" x14ac:dyDescent="0.3">
      <c r="A27" t="s">
        <v>51</v>
      </c>
      <c r="B27">
        <v>96.3</v>
      </c>
      <c r="C27" t="s">
        <v>48</v>
      </c>
    </row>
    <row r="28" spans="1:3" x14ac:dyDescent="0.3">
      <c r="A28" t="s">
        <v>49</v>
      </c>
      <c r="B28">
        <v>66.75</v>
      </c>
      <c r="C28" t="s">
        <v>48</v>
      </c>
    </row>
    <row r="29" spans="1:3" x14ac:dyDescent="0.3">
      <c r="A29" t="s">
        <v>50</v>
      </c>
      <c r="B29">
        <v>65.989999999999995</v>
      </c>
      <c r="C29" t="s">
        <v>48</v>
      </c>
    </row>
    <row r="30" spans="1:3" x14ac:dyDescent="0.3">
      <c r="A30" t="s">
        <v>53</v>
      </c>
      <c r="B30">
        <v>747.53</v>
      </c>
      <c r="C30" t="s">
        <v>46</v>
      </c>
    </row>
    <row r="31" spans="1:3" x14ac:dyDescent="0.3">
      <c r="A31" t="s">
        <v>54</v>
      </c>
      <c r="B31">
        <v>11</v>
      </c>
      <c r="C31" t="s">
        <v>12</v>
      </c>
    </row>
    <row r="32" spans="1:3" x14ac:dyDescent="0.3">
      <c r="A32" t="s">
        <v>55</v>
      </c>
      <c r="B32">
        <v>211.57</v>
      </c>
      <c r="C32" t="s">
        <v>46</v>
      </c>
    </row>
    <row r="33" spans="1:3" x14ac:dyDescent="0.3">
      <c r="A33" t="s">
        <v>56</v>
      </c>
      <c r="B33">
        <v>3732.61</v>
      </c>
      <c r="C33" t="s">
        <v>58</v>
      </c>
    </row>
    <row r="34" spans="1:3" x14ac:dyDescent="0.3">
      <c r="A34" t="s">
        <v>57</v>
      </c>
      <c r="B34">
        <v>1434.36</v>
      </c>
      <c r="C34" t="s">
        <v>58</v>
      </c>
    </row>
    <row r="35" spans="1:3" x14ac:dyDescent="0.3">
      <c r="A35" t="s">
        <v>59</v>
      </c>
      <c r="B35">
        <v>1029.49</v>
      </c>
      <c r="C35" t="s">
        <v>58</v>
      </c>
    </row>
    <row r="36" spans="1:3" x14ac:dyDescent="0.3">
      <c r="A36" t="s">
        <v>60</v>
      </c>
      <c r="B36">
        <v>0.43</v>
      </c>
      <c r="C36" t="s">
        <v>33</v>
      </c>
    </row>
    <row r="37" spans="1:3" x14ac:dyDescent="0.3">
      <c r="A37" t="s">
        <v>61</v>
      </c>
      <c r="B37">
        <v>14.39</v>
      </c>
      <c r="C37" t="s">
        <v>46</v>
      </c>
    </row>
    <row r="38" spans="1:3" x14ac:dyDescent="0.3">
      <c r="A38" t="s">
        <v>62</v>
      </c>
      <c r="B38">
        <v>45.41</v>
      </c>
      <c r="C38" t="s">
        <v>46</v>
      </c>
    </row>
    <row r="39" spans="1:3" x14ac:dyDescent="0.3">
      <c r="A39" t="s">
        <v>63</v>
      </c>
      <c r="B39">
        <v>903.41</v>
      </c>
      <c r="C39" t="s">
        <v>58</v>
      </c>
    </row>
    <row r="40" spans="1:3" x14ac:dyDescent="0.3">
      <c r="A40" t="s">
        <v>64</v>
      </c>
      <c r="B40">
        <v>1390.92</v>
      </c>
      <c r="C40" t="s">
        <v>58</v>
      </c>
    </row>
    <row r="41" spans="1:3" x14ac:dyDescent="0.3">
      <c r="A41" t="s">
        <v>65</v>
      </c>
      <c r="B41">
        <v>10.86</v>
      </c>
      <c r="C41" t="s">
        <v>46</v>
      </c>
    </row>
    <row r="42" spans="1:3" x14ac:dyDescent="0.3">
      <c r="A42" t="s">
        <v>66</v>
      </c>
      <c r="B42">
        <v>121.13</v>
      </c>
      <c r="C42" t="s">
        <v>46</v>
      </c>
    </row>
    <row r="43" spans="1:3" x14ac:dyDescent="0.3">
      <c r="A43" t="s">
        <v>67</v>
      </c>
      <c r="B43">
        <v>81.84</v>
      </c>
      <c r="C43" t="s">
        <v>46</v>
      </c>
    </row>
    <row r="44" spans="1:3" x14ac:dyDescent="0.3">
      <c r="A44" t="s">
        <v>68</v>
      </c>
      <c r="B44">
        <v>98.47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12</v>
      </c>
      <c r="C46" t="s">
        <v>12</v>
      </c>
    </row>
    <row r="47" spans="1:3" x14ac:dyDescent="0.3">
      <c r="A47" t="s">
        <v>72</v>
      </c>
      <c r="B47">
        <v>11</v>
      </c>
      <c r="C47" t="s">
        <v>12</v>
      </c>
    </row>
    <row r="48" spans="1:3" x14ac:dyDescent="0.3">
      <c r="A48" t="s">
        <v>76</v>
      </c>
      <c r="B48">
        <v>1050</v>
      </c>
      <c r="C48" t="s">
        <v>46</v>
      </c>
    </row>
    <row r="49" spans="1:3" x14ac:dyDescent="0.3">
      <c r="A49" t="s">
        <v>71</v>
      </c>
      <c r="B49">
        <v>211.57</v>
      </c>
      <c r="C49" t="s">
        <v>46</v>
      </c>
    </row>
    <row r="50" spans="1:3" x14ac:dyDescent="0.3">
      <c r="A50" t="s">
        <v>73</v>
      </c>
      <c r="B50">
        <v>77.72</v>
      </c>
      <c r="C50" t="s">
        <v>46</v>
      </c>
    </row>
    <row r="51" spans="1:3" x14ac:dyDescent="0.3">
      <c r="A51" t="s">
        <v>74</v>
      </c>
      <c r="B51">
        <v>45.41</v>
      </c>
      <c r="C51" t="s">
        <v>46</v>
      </c>
    </row>
    <row r="52" spans="1:3" x14ac:dyDescent="0.3">
      <c r="A52" t="s">
        <v>75</v>
      </c>
      <c r="B52">
        <v>32.31</v>
      </c>
      <c r="C52" t="s">
        <v>46</v>
      </c>
    </row>
    <row r="53" spans="1:3" x14ac:dyDescent="0.3">
      <c r="A53" t="s">
        <v>77</v>
      </c>
      <c r="B53">
        <v>3732.61</v>
      </c>
      <c r="C53" t="s">
        <v>58</v>
      </c>
    </row>
    <row r="54" spans="1:3" x14ac:dyDescent="0.3">
      <c r="A54" t="s">
        <v>79</v>
      </c>
      <c r="B54">
        <v>766.5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19.86</v>
      </c>
      <c r="C58" t="s">
        <v>35</v>
      </c>
    </row>
    <row r="59" spans="1:3" x14ac:dyDescent="0.3">
      <c r="A59" t="s">
        <v>18</v>
      </c>
      <c r="B59">
        <v>19.940000000000001</v>
      </c>
      <c r="C59" t="s">
        <v>35</v>
      </c>
    </row>
    <row r="60" spans="1:3" x14ac:dyDescent="0.3">
      <c r="A60" t="s">
        <v>31</v>
      </c>
      <c r="B60" s="2">
        <v>-7.8399999999999995E-5</v>
      </c>
      <c r="C60" t="s">
        <v>5</v>
      </c>
    </row>
    <row r="61" spans="1:3" x14ac:dyDescent="0.3">
      <c r="A61" t="s">
        <v>32</v>
      </c>
      <c r="B61">
        <v>8.8699999999999992</v>
      </c>
      <c r="C61" t="s">
        <v>33</v>
      </c>
    </row>
    <row r="62" spans="1:3" x14ac:dyDescent="0.3">
      <c r="A62" t="s">
        <v>34</v>
      </c>
      <c r="B62">
        <v>30.76</v>
      </c>
      <c r="C62" t="s">
        <v>33</v>
      </c>
    </row>
    <row r="63" spans="1:3" x14ac:dyDescent="0.3">
      <c r="A63" t="s">
        <v>21</v>
      </c>
      <c r="B63">
        <v>63.64</v>
      </c>
      <c r="C63" t="s">
        <v>33</v>
      </c>
    </row>
    <row r="64" spans="1:3" x14ac:dyDescent="0.3">
      <c r="A64" t="s">
        <v>36</v>
      </c>
      <c r="B64">
        <v>2.96</v>
      </c>
      <c r="C64" t="s">
        <v>33</v>
      </c>
    </row>
    <row r="65" spans="1:3" x14ac:dyDescent="0.3">
      <c r="A65" t="s">
        <v>37</v>
      </c>
      <c r="B65">
        <v>2.41</v>
      </c>
      <c r="C65" t="s">
        <v>33</v>
      </c>
    </row>
    <row r="66" spans="1:3" x14ac:dyDescent="0.3">
      <c r="A66" t="s">
        <v>22</v>
      </c>
      <c r="B66">
        <v>32.61</v>
      </c>
      <c r="C66" t="s">
        <v>33</v>
      </c>
    </row>
    <row r="67" spans="1:3" x14ac:dyDescent="0.3">
      <c r="A67" t="s">
        <v>19</v>
      </c>
      <c r="B67">
        <v>34.99</v>
      </c>
      <c r="C67" t="s">
        <v>33</v>
      </c>
    </row>
    <row r="68" spans="1:3" x14ac:dyDescent="0.3">
      <c r="A68" t="s">
        <v>20</v>
      </c>
      <c r="B68">
        <v>1.7</v>
      </c>
      <c r="C68" t="s">
        <v>33</v>
      </c>
    </row>
    <row r="69" spans="1:3" x14ac:dyDescent="0.3">
      <c r="A69" t="s">
        <v>23</v>
      </c>
      <c r="B69">
        <v>0.3</v>
      </c>
      <c r="C69" t="s">
        <v>33</v>
      </c>
    </row>
    <row r="70" spans="1:3" x14ac:dyDescent="0.3">
      <c r="A70" t="s">
        <v>38</v>
      </c>
      <c r="B70">
        <v>0.88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21.44</v>
      </c>
      <c r="C72" t="s">
        <v>35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76AF-E2F4-4618-B213-BEB9C9B7A0B6}">
  <sheetPr codeName="Sheet55"/>
  <dimension ref="A1:C72"/>
  <sheetViews>
    <sheetView workbookViewId="0">
      <selection activeCell="I18" sqref="I18"/>
    </sheetView>
  </sheetViews>
  <sheetFormatPr defaultRowHeight="14.4" x14ac:dyDescent="0.3"/>
  <sheetData>
    <row r="1" spans="1:3" x14ac:dyDescent="0.3">
      <c r="A1" t="s">
        <v>570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0.34</v>
      </c>
      <c r="C5" t="s">
        <v>5</v>
      </c>
    </row>
    <row r="6" spans="1:3" x14ac:dyDescent="0.3">
      <c r="A6" t="s">
        <v>18</v>
      </c>
      <c r="B6">
        <v>0.34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0.1</v>
      </c>
      <c r="C8" t="s">
        <v>35</v>
      </c>
    </row>
    <row r="9" spans="1:3" x14ac:dyDescent="0.3">
      <c r="A9" t="s">
        <v>34</v>
      </c>
      <c r="B9">
        <v>0.35</v>
      </c>
      <c r="C9" t="s">
        <v>35</v>
      </c>
    </row>
    <row r="10" spans="1:3" x14ac:dyDescent="0.3">
      <c r="A10" t="s">
        <v>21</v>
      </c>
      <c r="B10">
        <v>1.41</v>
      </c>
      <c r="C10" t="s">
        <v>35</v>
      </c>
    </row>
    <row r="11" spans="1:3" x14ac:dyDescent="0.3">
      <c r="A11" t="s">
        <v>36</v>
      </c>
      <c r="B11">
        <v>96.07</v>
      </c>
      <c r="C11" t="s">
        <v>33</v>
      </c>
    </row>
    <row r="12" spans="1:3" x14ac:dyDescent="0.3">
      <c r="A12" t="s">
        <v>37</v>
      </c>
      <c r="B12">
        <v>82.16</v>
      </c>
      <c r="C12" t="s">
        <v>33</v>
      </c>
    </row>
    <row r="13" spans="1:3" x14ac:dyDescent="0.3">
      <c r="A13" t="s">
        <v>22</v>
      </c>
      <c r="B13">
        <v>0.68</v>
      </c>
      <c r="C13" t="s">
        <v>35</v>
      </c>
    </row>
    <row r="14" spans="1:3" x14ac:dyDescent="0.3">
      <c r="A14" t="s">
        <v>19</v>
      </c>
      <c r="B14">
        <v>0.81</v>
      </c>
      <c r="C14" t="s">
        <v>35</v>
      </c>
    </row>
    <row r="15" spans="1:3" x14ac:dyDescent="0.3">
      <c r="A15" t="s">
        <v>20</v>
      </c>
      <c r="B15">
        <v>7.9</v>
      </c>
      <c r="C15" t="s">
        <v>33</v>
      </c>
    </row>
    <row r="16" spans="1:3" x14ac:dyDescent="0.3">
      <c r="A16" t="s">
        <v>23</v>
      </c>
      <c r="B16">
        <v>18.77</v>
      </c>
      <c r="C16" t="s">
        <v>33</v>
      </c>
    </row>
    <row r="17" spans="1:3" x14ac:dyDescent="0.3">
      <c r="A17" t="s">
        <v>38</v>
      </c>
      <c r="B17">
        <v>31.7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0.37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5265</v>
      </c>
      <c r="C24" t="s">
        <v>46</v>
      </c>
    </row>
    <row r="25" spans="1:3" x14ac:dyDescent="0.3">
      <c r="A25" t="s">
        <v>47</v>
      </c>
      <c r="B25">
        <v>10662.09</v>
      </c>
      <c r="C25" t="s">
        <v>48</v>
      </c>
    </row>
    <row r="26" spans="1:3" x14ac:dyDescent="0.3">
      <c r="A26" t="s">
        <v>51</v>
      </c>
      <c r="B26">
        <v>10102.06</v>
      </c>
      <c r="C26" t="s">
        <v>48</v>
      </c>
    </row>
    <row r="27" spans="1:3" x14ac:dyDescent="0.3">
      <c r="A27" t="s">
        <v>49</v>
      </c>
      <c r="B27">
        <v>264.87</v>
      </c>
      <c r="C27" t="s">
        <v>48</v>
      </c>
    </row>
    <row r="28" spans="1:3" x14ac:dyDescent="0.3">
      <c r="A28" t="s">
        <v>50</v>
      </c>
      <c r="B28">
        <v>261.64999999999998</v>
      </c>
      <c r="C28" t="s">
        <v>48</v>
      </c>
    </row>
    <row r="29" spans="1:3" x14ac:dyDescent="0.3">
      <c r="A29" t="s">
        <v>52</v>
      </c>
      <c r="B29">
        <v>33.51</v>
      </c>
      <c r="C29" t="s">
        <v>48</v>
      </c>
    </row>
    <row r="30" spans="1:3" x14ac:dyDescent="0.3">
      <c r="A30" t="s">
        <v>53</v>
      </c>
      <c r="B30">
        <v>976.8</v>
      </c>
      <c r="C30" t="s">
        <v>46</v>
      </c>
    </row>
    <row r="31" spans="1:3" x14ac:dyDescent="0.3">
      <c r="A31" t="s">
        <v>54</v>
      </c>
      <c r="B31">
        <v>2745</v>
      </c>
      <c r="C31" t="s">
        <v>46</v>
      </c>
    </row>
    <row r="32" spans="1:3" x14ac:dyDescent="0.3">
      <c r="A32" t="s">
        <v>55</v>
      </c>
      <c r="B32">
        <v>839.43</v>
      </c>
      <c r="C32" t="s">
        <v>46</v>
      </c>
    </row>
    <row r="33" spans="1:3" x14ac:dyDescent="0.3">
      <c r="A33" t="s">
        <v>56</v>
      </c>
      <c r="B33">
        <v>14.79</v>
      </c>
      <c r="C33" t="s">
        <v>46</v>
      </c>
    </row>
    <row r="34" spans="1:3" x14ac:dyDescent="0.3">
      <c r="A34" t="s">
        <v>57</v>
      </c>
      <c r="B34">
        <v>1874.3</v>
      </c>
      <c r="C34" t="s">
        <v>58</v>
      </c>
    </row>
    <row r="35" spans="1:3" x14ac:dyDescent="0.3">
      <c r="A35" t="s">
        <v>59</v>
      </c>
      <c r="B35">
        <v>4078.83</v>
      </c>
      <c r="C35" t="s">
        <v>58</v>
      </c>
    </row>
    <row r="36" spans="1:3" x14ac:dyDescent="0.3">
      <c r="A36" t="s">
        <v>60</v>
      </c>
      <c r="B36">
        <v>1.7</v>
      </c>
      <c r="C36" t="s">
        <v>33</v>
      </c>
    </row>
    <row r="37" spans="1:3" x14ac:dyDescent="0.3">
      <c r="A37" t="s">
        <v>61</v>
      </c>
      <c r="B37">
        <v>57.12</v>
      </c>
      <c r="C37" t="s">
        <v>46</v>
      </c>
    </row>
    <row r="38" spans="1:3" x14ac:dyDescent="0.3">
      <c r="A38" t="s">
        <v>62</v>
      </c>
      <c r="B38">
        <v>179.92</v>
      </c>
      <c r="C38" t="s">
        <v>46</v>
      </c>
    </row>
    <row r="39" spans="1:3" x14ac:dyDescent="0.3">
      <c r="A39" t="s">
        <v>63</v>
      </c>
      <c r="B39">
        <v>3579.32</v>
      </c>
      <c r="C39" t="s">
        <v>58</v>
      </c>
    </row>
    <row r="40" spans="1:3" x14ac:dyDescent="0.3">
      <c r="A40" t="s">
        <v>64</v>
      </c>
      <c r="B40">
        <v>5510.83</v>
      </c>
      <c r="C40" t="s">
        <v>58</v>
      </c>
    </row>
    <row r="41" spans="1:3" x14ac:dyDescent="0.3">
      <c r="A41" t="s">
        <v>65</v>
      </c>
      <c r="B41">
        <v>43.02</v>
      </c>
      <c r="C41" t="s">
        <v>46</v>
      </c>
    </row>
    <row r="42" spans="1:3" x14ac:dyDescent="0.3">
      <c r="A42" t="s">
        <v>66</v>
      </c>
      <c r="B42">
        <v>158.28</v>
      </c>
      <c r="C42" t="s">
        <v>46</v>
      </c>
    </row>
    <row r="43" spans="1:3" x14ac:dyDescent="0.3">
      <c r="A43" t="s">
        <v>67</v>
      </c>
      <c r="B43">
        <v>106.94</v>
      </c>
      <c r="C43" t="s">
        <v>46</v>
      </c>
    </row>
    <row r="44" spans="1:3" x14ac:dyDescent="0.3">
      <c r="A44" t="s">
        <v>68</v>
      </c>
      <c r="B44">
        <v>128.66999999999999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4957</v>
      </c>
      <c r="C46" t="s">
        <v>46</v>
      </c>
    </row>
    <row r="47" spans="1:3" x14ac:dyDescent="0.3">
      <c r="A47" t="s">
        <v>72</v>
      </c>
      <c r="B47">
        <v>2745</v>
      </c>
      <c r="C47" t="s">
        <v>46</v>
      </c>
    </row>
    <row r="48" spans="1:3" x14ac:dyDescent="0.3">
      <c r="A48" t="s">
        <v>76</v>
      </c>
      <c r="B48">
        <v>1373</v>
      </c>
      <c r="C48" t="s">
        <v>46</v>
      </c>
    </row>
    <row r="49" spans="1:3" x14ac:dyDescent="0.3">
      <c r="A49" t="s">
        <v>71</v>
      </c>
      <c r="B49">
        <v>839.43</v>
      </c>
      <c r="C49" t="s">
        <v>46</v>
      </c>
    </row>
    <row r="50" spans="1:3" x14ac:dyDescent="0.3">
      <c r="A50" t="s">
        <v>73</v>
      </c>
      <c r="B50">
        <v>308.02</v>
      </c>
      <c r="C50" t="s">
        <v>46</v>
      </c>
    </row>
    <row r="51" spans="1:3" x14ac:dyDescent="0.3">
      <c r="A51" t="s">
        <v>74</v>
      </c>
      <c r="B51">
        <v>179.92</v>
      </c>
      <c r="C51" t="s">
        <v>46</v>
      </c>
    </row>
    <row r="52" spans="1:3" x14ac:dyDescent="0.3">
      <c r="A52" t="s">
        <v>75</v>
      </c>
      <c r="B52">
        <v>128.1</v>
      </c>
      <c r="C52" t="s">
        <v>46</v>
      </c>
    </row>
    <row r="53" spans="1:3" x14ac:dyDescent="0.3">
      <c r="A53" t="s">
        <v>77</v>
      </c>
      <c r="B53">
        <v>14.79</v>
      </c>
      <c r="C53" t="s">
        <v>46</v>
      </c>
    </row>
    <row r="54" spans="1:3" x14ac:dyDescent="0.3">
      <c r="A54" t="s">
        <v>79</v>
      </c>
      <c r="B54">
        <v>10662.09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47.95</v>
      </c>
      <c r="C58" t="s">
        <v>35</v>
      </c>
    </row>
    <row r="59" spans="1:3" x14ac:dyDescent="0.3">
      <c r="A59" t="s">
        <v>18</v>
      </c>
      <c r="B59">
        <v>48.26</v>
      </c>
      <c r="C59" t="s">
        <v>35</v>
      </c>
    </row>
    <row r="60" spans="1:3" x14ac:dyDescent="0.3">
      <c r="A60" t="s">
        <v>31</v>
      </c>
      <c r="B60" s="2">
        <v>-3.1100000000000002E-4</v>
      </c>
      <c r="C60" t="s">
        <v>5</v>
      </c>
    </row>
    <row r="61" spans="1:3" x14ac:dyDescent="0.3">
      <c r="A61" t="s">
        <v>32</v>
      </c>
      <c r="B61">
        <v>6.77</v>
      </c>
      <c r="C61" t="s">
        <v>33</v>
      </c>
    </row>
    <row r="62" spans="1:3" x14ac:dyDescent="0.3">
      <c r="A62" t="s">
        <v>34</v>
      </c>
      <c r="B62">
        <v>19.760000000000002</v>
      </c>
      <c r="C62" t="s">
        <v>33</v>
      </c>
    </row>
    <row r="63" spans="1:3" x14ac:dyDescent="0.3">
      <c r="A63" t="s">
        <v>21</v>
      </c>
      <c r="B63">
        <v>71.23</v>
      </c>
      <c r="C63" t="s">
        <v>33</v>
      </c>
    </row>
    <row r="64" spans="1:3" x14ac:dyDescent="0.3">
      <c r="A64" t="s">
        <v>36</v>
      </c>
      <c r="B64">
        <v>6.33</v>
      </c>
      <c r="C64" t="s">
        <v>33</v>
      </c>
    </row>
    <row r="65" spans="1:3" x14ac:dyDescent="0.3">
      <c r="A65" t="s">
        <v>37</v>
      </c>
      <c r="B65">
        <v>5.09</v>
      </c>
      <c r="C65" t="s">
        <v>33</v>
      </c>
    </row>
    <row r="66" spans="1:3" x14ac:dyDescent="0.3">
      <c r="A66" t="s">
        <v>22</v>
      </c>
      <c r="B66">
        <v>0.1</v>
      </c>
      <c r="C66" t="s">
        <v>35</v>
      </c>
    </row>
    <row r="67" spans="1:3" x14ac:dyDescent="0.3">
      <c r="A67" t="s">
        <v>19</v>
      </c>
      <c r="B67">
        <v>23.9</v>
      </c>
      <c r="C67" t="s">
        <v>33</v>
      </c>
    </row>
    <row r="68" spans="1:3" x14ac:dyDescent="0.3">
      <c r="A68" t="s">
        <v>20</v>
      </c>
      <c r="B68">
        <v>1.01</v>
      </c>
      <c r="C68" t="s">
        <v>33</v>
      </c>
    </row>
    <row r="69" spans="1:3" x14ac:dyDescent="0.3">
      <c r="A69" t="s">
        <v>23</v>
      </c>
      <c r="B69">
        <v>0.57999999999999996</v>
      </c>
      <c r="C69" t="s">
        <v>33</v>
      </c>
    </row>
    <row r="70" spans="1:3" x14ac:dyDescent="0.3">
      <c r="A70" t="s">
        <v>38</v>
      </c>
      <c r="B70">
        <v>1.63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48.99</v>
      </c>
      <c r="C72" t="s">
        <v>35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0ADB-9028-47C2-B445-DD3FB1A9D506}">
  <sheetPr codeName="Sheet54"/>
  <dimension ref="A1:C72"/>
  <sheetViews>
    <sheetView workbookViewId="0">
      <selection activeCell="D1" sqref="D1"/>
    </sheetView>
  </sheetViews>
  <sheetFormatPr defaultRowHeight="14.4" x14ac:dyDescent="0.3"/>
  <sheetData>
    <row r="1" spans="1:3" x14ac:dyDescent="0.3">
      <c r="A1" t="s">
        <v>569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0.59</v>
      </c>
      <c r="C5" t="s">
        <v>5</v>
      </c>
    </row>
    <row r="6" spans="1:3" x14ac:dyDescent="0.3">
      <c r="A6" t="s">
        <v>18</v>
      </c>
      <c r="B6">
        <v>0.59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0.21</v>
      </c>
      <c r="C8" t="s">
        <v>35</v>
      </c>
    </row>
    <row r="9" spans="1:3" x14ac:dyDescent="0.3">
      <c r="A9" t="s">
        <v>34</v>
      </c>
      <c r="B9">
        <v>0.64</v>
      </c>
      <c r="C9" t="s">
        <v>35</v>
      </c>
    </row>
    <row r="10" spans="1:3" x14ac:dyDescent="0.3">
      <c r="A10" t="s">
        <v>21</v>
      </c>
      <c r="B10">
        <v>3.25</v>
      </c>
      <c r="C10" t="s">
        <v>35</v>
      </c>
    </row>
    <row r="11" spans="1:3" x14ac:dyDescent="0.3">
      <c r="A11" t="s">
        <v>36</v>
      </c>
      <c r="B11">
        <v>0.78</v>
      </c>
      <c r="C11" t="s">
        <v>35</v>
      </c>
    </row>
    <row r="12" spans="1:3" x14ac:dyDescent="0.3">
      <c r="A12" t="s">
        <v>37</v>
      </c>
      <c r="B12">
        <v>0.61</v>
      </c>
      <c r="C12" t="s">
        <v>35</v>
      </c>
    </row>
    <row r="13" spans="1:3" x14ac:dyDescent="0.3">
      <c r="A13" t="s">
        <v>22</v>
      </c>
      <c r="B13">
        <v>35.880000000000003</v>
      </c>
      <c r="C13" t="s">
        <v>35</v>
      </c>
    </row>
    <row r="14" spans="1:3" x14ac:dyDescent="0.3">
      <c r="A14" t="s">
        <v>19</v>
      </c>
      <c r="B14">
        <v>1.33</v>
      </c>
      <c r="C14" t="s">
        <v>35</v>
      </c>
    </row>
    <row r="15" spans="1:3" x14ac:dyDescent="0.3">
      <c r="A15" t="s">
        <v>20</v>
      </c>
      <c r="B15">
        <v>13.07</v>
      </c>
      <c r="C15" t="s">
        <v>33</v>
      </c>
    </row>
    <row r="16" spans="1:3" x14ac:dyDescent="0.3">
      <c r="A16" t="s">
        <v>23</v>
      </c>
      <c r="B16">
        <v>33.65</v>
      </c>
      <c r="C16" t="s">
        <v>33</v>
      </c>
    </row>
    <row r="17" spans="1:3" x14ac:dyDescent="0.3">
      <c r="A17" t="s">
        <v>38</v>
      </c>
      <c r="B17">
        <v>73.69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0.63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8964</v>
      </c>
      <c r="C24" t="s">
        <v>46</v>
      </c>
    </row>
    <row r="25" spans="1:3" x14ac:dyDescent="0.3">
      <c r="A25" t="s">
        <v>47</v>
      </c>
      <c r="B25">
        <v>0.39</v>
      </c>
      <c r="C25" t="s">
        <v>488</v>
      </c>
    </row>
    <row r="26" spans="1:3" x14ac:dyDescent="0.3">
      <c r="A26" t="s">
        <v>52</v>
      </c>
      <c r="B26">
        <v>0.38</v>
      </c>
      <c r="C26" t="s">
        <v>488</v>
      </c>
    </row>
    <row r="27" spans="1:3" x14ac:dyDescent="0.3">
      <c r="A27" t="s">
        <v>51</v>
      </c>
      <c r="B27">
        <v>12997.94</v>
      </c>
      <c r="C27" t="s">
        <v>48</v>
      </c>
    </row>
    <row r="28" spans="1:3" x14ac:dyDescent="0.3">
      <c r="A28" t="s">
        <v>49</v>
      </c>
      <c r="B28">
        <v>472.89</v>
      </c>
      <c r="C28" t="s">
        <v>48</v>
      </c>
    </row>
    <row r="29" spans="1:3" x14ac:dyDescent="0.3">
      <c r="A29" t="s">
        <v>50</v>
      </c>
      <c r="B29">
        <v>467.17</v>
      </c>
      <c r="C29" t="s">
        <v>48</v>
      </c>
    </row>
    <row r="30" spans="1:3" x14ac:dyDescent="0.3">
      <c r="A30" t="s">
        <v>53</v>
      </c>
      <c r="B30">
        <v>2079</v>
      </c>
      <c r="C30" t="s">
        <v>46</v>
      </c>
    </row>
    <row r="31" spans="1:3" x14ac:dyDescent="0.3">
      <c r="A31" t="s">
        <v>54</v>
      </c>
      <c r="B31">
        <v>3994</v>
      </c>
      <c r="C31" t="s">
        <v>46</v>
      </c>
    </row>
    <row r="32" spans="1:3" x14ac:dyDescent="0.3">
      <c r="A32" t="s">
        <v>55</v>
      </c>
      <c r="B32">
        <v>1499</v>
      </c>
      <c r="C32" t="s">
        <v>46</v>
      </c>
    </row>
    <row r="33" spans="1:3" x14ac:dyDescent="0.3">
      <c r="A33" t="s">
        <v>56</v>
      </c>
      <c r="B33">
        <v>26.41</v>
      </c>
      <c r="C33" t="s">
        <v>46</v>
      </c>
    </row>
    <row r="34" spans="1:3" x14ac:dyDescent="0.3">
      <c r="A34" t="s">
        <v>57</v>
      </c>
      <c r="B34">
        <v>3988.31</v>
      </c>
      <c r="C34" t="s">
        <v>58</v>
      </c>
    </row>
    <row r="35" spans="1:3" x14ac:dyDescent="0.3">
      <c r="A35" t="s">
        <v>59</v>
      </c>
      <c r="B35">
        <v>7283.13</v>
      </c>
      <c r="C35" t="s">
        <v>58</v>
      </c>
    </row>
    <row r="36" spans="1:3" x14ac:dyDescent="0.3">
      <c r="A36" t="s">
        <v>60</v>
      </c>
      <c r="B36">
        <v>3.04</v>
      </c>
      <c r="C36" t="s">
        <v>33</v>
      </c>
    </row>
    <row r="37" spans="1:3" x14ac:dyDescent="0.3">
      <c r="A37" t="s">
        <v>61</v>
      </c>
      <c r="B37">
        <v>101.98</v>
      </c>
      <c r="C37" t="s">
        <v>46</v>
      </c>
    </row>
    <row r="38" spans="1:3" x14ac:dyDescent="0.3">
      <c r="A38" t="s">
        <v>62</v>
      </c>
      <c r="B38">
        <v>321.26</v>
      </c>
      <c r="C38" t="s">
        <v>46</v>
      </c>
    </row>
    <row r="39" spans="1:3" x14ac:dyDescent="0.3">
      <c r="A39" t="s">
        <v>63</v>
      </c>
      <c r="B39">
        <v>6391.21</v>
      </c>
      <c r="C39" t="s">
        <v>58</v>
      </c>
    </row>
    <row r="40" spans="1:3" x14ac:dyDescent="0.3">
      <c r="A40" t="s">
        <v>64</v>
      </c>
      <c r="B40">
        <v>9840.1</v>
      </c>
      <c r="C40" t="s">
        <v>58</v>
      </c>
    </row>
    <row r="41" spans="1:3" x14ac:dyDescent="0.3">
      <c r="A41" t="s">
        <v>65</v>
      </c>
      <c r="B41">
        <v>76.81</v>
      </c>
      <c r="C41" t="s">
        <v>46</v>
      </c>
    </row>
    <row r="42" spans="1:3" x14ac:dyDescent="0.3">
      <c r="A42" t="s">
        <v>66</v>
      </c>
      <c r="B42">
        <v>336.8</v>
      </c>
      <c r="C42" t="s">
        <v>46</v>
      </c>
    </row>
    <row r="43" spans="1:3" x14ac:dyDescent="0.3">
      <c r="A43" t="s">
        <v>67</v>
      </c>
      <c r="B43">
        <v>227.55</v>
      </c>
      <c r="C43" t="s">
        <v>46</v>
      </c>
    </row>
    <row r="44" spans="1:3" x14ac:dyDescent="0.3">
      <c r="A44" t="s">
        <v>68</v>
      </c>
      <c r="B44">
        <v>273.8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8414</v>
      </c>
      <c r="C46" t="s">
        <v>46</v>
      </c>
    </row>
    <row r="47" spans="1:3" x14ac:dyDescent="0.3">
      <c r="A47" t="s">
        <v>72</v>
      </c>
      <c r="B47">
        <v>3994</v>
      </c>
      <c r="C47" t="s">
        <v>46</v>
      </c>
    </row>
    <row r="48" spans="1:3" x14ac:dyDescent="0.3">
      <c r="A48" t="s">
        <v>76</v>
      </c>
      <c r="B48">
        <v>2921</v>
      </c>
      <c r="C48" t="s">
        <v>46</v>
      </c>
    </row>
    <row r="49" spans="1:3" x14ac:dyDescent="0.3">
      <c r="A49" t="s">
        <v>71</v>
      </c>
      <c r="B49">
        <v>1499</v>
      </c>
      <c r="C49" t="s">
        <v>46</v>
      </c>
    </row>
    <row r="50" spans="1:3" x14ac:dyDescent="0.3">
      <c r="A50" t="s">
        <v>73</v>
      </c>
      <c r="B50">
        <v>549.98</v>
      </c>
      <c r="C50" t="s">
        <v>46</v>
      </c>
    </row>
    <row r="51" spans="1:3" x14ac:dyDescent="0.3">
      <c r="A51" t="s">
        <v>74</v>
      </c>
      <c r="B51">
        <v>321.26</v>
      </c>
      <c r="C51" t="s">
        <v>46</v>
      </c>
    </row>
    <row r="52" spans="1:3" x14ac:dyDescent="0.3">
      <c r="A52" t="s">
        <v>75</v>
      </c>
      <c r="B52">
        <v>228.71</v>
      </c>
      <c r="C52" t="s">
        <v>46</v>
      </c>
    </row>
    <row r="53" spans="1:3" x14ac:dyDescent="0.3">
      <c r="A53" t="s">
        <v>77</v>
      </c>
      <c r="B53">
        <v>26.41</v>
      </c>
      <c r="C53" t="s">
        <v>46</v>
      </c>
    </row>
    <row r="54" spans="1:3" x14ac:dyDescent="0.3">
      <c r="A54" t="s">
        <v>79</v>
      </c>
      <c r="B54">
        <v>0.39</v>
      </c>
      <c r="C54" t="s">
        <v>488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90.02</v>
      </c>
      <c r="C58" t="s">
        <v>35</v>
      </c>
    </row>
    <row r="59" spans="1:3" x14ac:dyDescent="0.3">
      <c r="A59" t="s">
        <v>18</v>
      </c>
      <c r="B59">
        <v>90.57</v>
      </c>
      <c r="C59" t="s">
        <v>35</v>
      </c>
    </row>
    <row r="60" spans="1:3" x14ac:dyDescent="0.3">
      <c r="A60" t="s">
        <v>31</v>
      </c>
      <c r="B60" s="2">
        <v>-5.5500000000000005E-4</v>
      </c>
      <c r="C60" t="s">
        <v>5</v>
      </c>
    </row>
    <row r="61" spans="1:3" x14ac:dyDescent="0.3">
      <c r="A61" t="s">
        <v>32</v>
      </c>
      <c r="B61">
        <v>14.11</v>
      </c>
      <c r="C61" t="s">
        <v>33</v>
      </c>
    </row>
    <row r="62" spans="1:3" x14ac:dyDescent="0.3">
      <c r="A62" t="s">
        <v>34</v>
      </c>
      <c r="B62">
        <v>38.700000000000003</v>
      </c>
      <c r="C62" t="s">
        <v>33</v>
      </c>
    </row>
    <row r="63" spans="1:3" x14ac:dyDescent="0.3">
      <c r="A63" t="s">
        <v>21</v>
      </c>
      <c r="B63">
        <v>0.16</v>
      </c>
      <c r="C63" t="s">
        <v>35</v>
      </c>
    </row>
    <row r="64" spans="1:3" x14ac:dyDescent="0.3">
      <c r="A64" t="s">
        <v>36</v>
      </c>
      <c r="B64">
        <v>13.61</v>
      </c>
      <c r="C64" t="s">
        <v>33</v>
      </c>
    </row>
    <row r="65" spans="1:3" x14ac:dyDescent="0.3">
      <c r="A65" t="s">
        <v>37</v>
      </c>
      <c r="B65">
        <v>11.16</v>
      </c>
      <c r="C65" t="s">
        <v>33</v>
      </c>
    </row>
    <row r="66" spans="1:3" x14ac:dyDescent="0.3">
      <c r="A66" t="s">
        <v>22</v>
      </c>
      <c r="B66">
        <v>0.19</v>
      </c>
      <c r="C66" t="s">
        <v>35</v>
      </c>
    </row>
    <row r="67" spans="1:3" x14ac:dyDescent="0.3">
      <c r="A67" t="s">
        <v>19</v>
      </c>
      <c r="B67">
        <v>36.29</v>
      </c>
      <c r="C67" t="s">
        <v>33</v>
      </c>
    </row>
    <row r="68" spans="1:3" x14ac:dyDescent="0.3">
      <c r="A68" t="s">
        <v>20</v>
      </c>
      <c r="B68">
        <v>1.73</v>
      </c>
      <c r="C68" t="s">
        <v>33</v>
      </c>
    </row>
    <row r="69" spans="1:3" x14ac:dyDescent="0.3">
      <c r="A69" t="s">
        <v>23</v>
      </c>
      <c r="B69">
        <v>1.31</v>
      </c>
      <c r="C69" t="s">
        <v>33</v>
      </c>
    </row>
    <row r="70" spans="1:3" x14ac:dyDescent="0.3">
      <c r="A70" t="s">
        <v>38</v>
      </c>
      <c r="B70">
        <v>3.9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91.67</v>
      </c>
      <c r="C72" t="s">
        <v>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4EA0-AA0B-4931-9800-4FEBB9D12A0E}">
  <sheetPr codeName="Sheet53"/>
  <dimension ref="A1:C72"/>
  <sheetViews>
    <sheetView workbookViewId="0">
      <selection activeCell="E20" sqref="E20"/>
    </sheetView>
  </sheetViews>
  <sheetFormatPr defaultRowHeight="14.4" x14ac:dyDescent="0.3"/>
  <sheetData>
    <row r="1" spans="1:3" x14ac:dyDescent="0.3">
      <c r="A1" t="s">
        <v>568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1.34</v>
      </c>
      <c r="C5" t="s">
        <v>5</v>
      </c>
    </row>
    <row r="6" spans="1:3" x14ac:dyDescent="0.3">
      <c r="A6" t="s">
        <v>18</v>
      </c>
      <c r="B6">
        <v>1.34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1.4</v>
      </c>
      <c r="C8" t="s">
        <v>35</v>
      </c>
    </row>
    <row r="9" spans="1:3" x14ac:dyDescent="0.3">
      <c r="A9" t="s">
        <v>34</v>
      </c>
      <c r="B9">
        <v>2.0499999999999998</v>
      </c>
      <c r="C9" t="s">
        <v>35</v>
      </c>
    </row>
    <row r="10" spans="1:3" x14ac:dyDescent="0.3">
      <c r="A10" t="s">
        <v>21</v>
      </c>
      <c r="B10">
        <v>5.13</v>
      </c>
      <c r="C10" t="s">
        <v>35</v>
      </c>
    </row>
    <row r="11" spans="1:3" x14ac:dyDescent="0.3">
      <c r="A11" t="s">
        <v>36</v>
      </c>
      <c r="B11">
        <v>1.3</v>
      </c>
      <c r="C11" t="s">
        <v>35</v>
      </c>
    </row>
    <row r="12" spans="1:3" x14ac:dyDescent="0.3">
      <c r="A12" t="s">
        <v>37</v>
      </c>
      <c r="B12">
        <v>1.01</v>
      </c>
      <c r="C12" t="s">
        <v>35</v>
      </c>
    </row>
    <row r="13" spans="1:3" x14ac:dyDescent="0.3">
      <c r="A13" t="s">
        <v>22</v>
      </c>
      <c r="B13">
        <v>61.18</v>
      </c>
      <c r="C13" t="s">
        <v>35</v>
      </c>
    </row>
    <row r="14" spans="1:3" x14ac:dyDescent="0.3">
      <c r="A14" t="s">
        <v>19</v>
      </c>
      <c r="B14">
        <v>3.47</v>
      </c>
      <c r="C14" t="s">
        <v>35</v>
      </c>
    </row>
    <row r="15" spans="1:3" x14ac:dyDescent="0.3">
      <c r="A15" t="s">
        <v>20</v>
      </c>
      <c r="B15">
        <v>28.06</v>
      </c>
      <c r="C15" t="s">
        <v>33</v>
      </c>
    </row>
    <row r="16" spans="1:3" x14ac:dyDescent="0.3">
      <c r="A16" t="s">
        <v>23</v>
      </c>
      <c r="B16">
        <v>47.45</v>
      </c>
      <c r="C16" t="s">
        <v>33</v>
      </c>
    </row>
    <row r="17" spans="1:3" x14ac:dyDescent="0.3">
      <c r="A17" t="s">
        <v>38</v>
      </c>
      <c r="B17">
        <v>0.11</v>
      </c>
      <c r="C17" t="s">
        <v>35</v>
      </c>
    </row>
    <row r="18" spans="1:3" x14ac:dyDescent="0.3">
      <c r="A18" t="s">
        <v>39</v>
      </c>
    </row>
    <row r="19" spans="1:3" x14ac:dyDescent="0.3">
      <c r="A19" t="s">
        <v>41</v>
      </c>
      <c r="B19">
        <v>1.46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22</v>
      </c>
      <c r="C24" t="s">
        <v>12</v>
      </c>
    </row>
    <row r="25" spans="1:3" x14ac:dyDescent="0.3">
      <c r="A25" t="s">
        <v>47</v>
      </c>
      <c r="B25">
        <v>28388.81</v>
      </c>
      <c r="C25" t="s">
        <v>48</v>
      </c>
    </row>
    <row r="26" spans="1:3" x14ac:dyDescent="0.3">
      <c r="A26" t="s">
        <v>51</v>
      </c>
      <c r="B26">
        <v>14683.33</v>
      </c>
      <c r="C26" t="s">
        <v>48</v>
      </c>
    </row>
    <row r="27" spans="1:3" x14ac:dyDescent="0.3">
      <c r="A27" t="s">
        <v>52</v>
      </c>
      <c r="B27">
        <v>12318.6</v>
      </c>
      <c r="C27" t="s">
        <v>48</v>
      </c>
    </row>
    <row r="28" spans="1:3" x14ac:dyDescent="0.3">
      <c r="A28" t="s">
        <v>49</v>
      </c>
      <c r="B28">
        <v>697.65</v>
      </c>
      <c r="C28" t="s">
        <v>48</v>
      </c>
    </row>
    <row r="29" spans="1:3" x14ac:dyDescent="0.3">
      <c r="A29" t="s">
        <v>50</v>
      </c>
      <c r="B29">
        <v>689.23</v>
      </c>
      <c r="C29" t="s">
        <v>48</v>
      </c>
    </row>
    <row r="30" spans="1:3" x14ac:dyDescent="0.3">
      <c r="A30" t="s">
        <v>53</v>
      </c>
      <c r="B30">
        <v>3172</v>
      </c>
      <c r="C30" t="s">
        <v>46</v>
      </c>
    </row>
    <row r="31" spans="1:3" x14ac:dyDescent="0.3">
      <c r="A31" t="s">
        <v>54</v>
      </c>
      <c r="B31">
        <v>14</v>
      </c>
      <c r="C31" t="s">
        <v>12</v>
      </c>
    </row>
    <row r="32" spans="1:3" x14ac:dyDescent="0.3">
      <c r="A32" t="s">
        <v>55</v>
      </c>
      <c r="B32">
        <v>2211</v>
      </c>
      <c r="C32" t="s">
        <v>46</v>
      </c>
    </row>
    <row r="33" spans="1:3" x14ac:dyDescent="0.3">
      <c r="A33" t="s">
        <v>56</v>
      </c>
      <c r="B33">
        <v>38.96</v>
      </c>
      <c r="C33" t="s">
        <v>46</v>
      </c>
    </row>
    <row r="34" spans="1:3" x14ac:dyDescent="0.3">
      <c r="A34" t="s">
        <v>57</v>
      </c>
      <c r="B34">
        <v>6085.58</v>
      </c>
      <c r="C34" t="s">
        <v>58</v>
      </c>
    </row>
    <row r="35" spans="1:3" x14ac:dyDescent="0.3">
      <c r="A35" t="s">
        <v>59</v>
      </c>
      <c r="B35">
        <v>10.75</v>
      </c>
      <c r="C35" t="s">
        <v>46</v>
      </c>
    </row>
    <row r="36" spans="1:3" x14ac:dyDescent="0.3">
      <c r="A36" t="s">
        <v>60</v>
      </c>
      <c r="B36">
        <v>4.49</v>
      </c>
      <c r="C36" t="s">
        <v>33</v>
      </c>
    </row>
    <row r="37" spans="1:3" x14ac:dyDescent="0.3">
      <c r="A37" t="s">
        <v>61</v>
      </c>
      <c r="B37">
        <v>150.44999999999999</v>
      </c>
      <c r="C37" t="s">
        <v>46</v>
      </c>
    </row>
    <row r="38" spans="1:3" x14ac:dyDescent="0.3">
      <c r="A38" t="s">
        <v>62</v>
      </c>
      <c r="B38">
        <v>473.98</v>
      </c>
      <c r="C38" t="s">
        <v>46</v>
      </c>
    </row>
    <row r="39" spans="1:3" x14ac:dyDescent="0.3">
      <c r="A39" t="s">
        <v>63</v>
      </c>
      <c r="B39">
        <v>9429.26</v>
      </c>
      <c r="C39" t="s">
        <v>58</v>
      </c>
    </row>
    <row r="40" spans="1:3" x14ac:dyDescent="0.3">
      <c r="A40" t="s">
        <v>64</v>
      </c>
      <c r="B40">
        <v>14.52</v>
      </c>
      <c r="C40" t="s">
        <v>46</v>
      </c>
    </row>
    <row r="41" spans="1:3" x14ac:dyDescent="0.3">
      <c r="A41" t="s">
        <v>65</v>
      </c>
      <c r="B41">
        <v>113.33</v>
      </c>
      <c r="C41" t="s">
        <v>46</v>
      </c>
    </row>
    <row r="42" spans="1:3" x14ac:dyDescent="0.3">
      <c r="A42" t="s">
        <v>66</v>
      </c>
      <c r="B42">
        <v>513.91</v>
      </c>
      <c r="C42" t="s">
        <v>46</v>
      </c>
    </row>
    <row r="43" spans="1:3" x14ac:dyDescent="0.3">
      <c r="A43" t="s">
        <v>67</v>
      </c>
      <c r="B43">
        <v>347.21</v>
      </c>
      <c r="C43" t="s">
        <v>46</v>
      </c>
    </row>
    <row r="44" spans="1:3" x14ac:dyDescent="0.3">
      <c r="A44" t="s">
        <v>68</v>
      </c>
      <c r="B44">
        <v>417.78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21</v>
      </c>
      <c r="C46" t="s">
        <v>12</v>
      </c>
    </row>
    <row r="47" spans="1:3" x14ac:dyDescent="0.3">
      <c r="A47" t="s">
        <v>72</v>
      </c>
      <c r="B47">
        <v>14</v>
      </c>
      <c r="C47" t="s">
        <v>12</v>
      </c>
    </row>
    <row r="48" spans="1:3" x14ac:dyDescent="0.3">
      <c r="A48" t="s">
        <v>76</v>
      </c>
      <c r="B48">
        <v>4456</v>
      </c>
      <c r="C48" t="s">
        <v>46</v>
      </c>
    </row>
    <row r="49" spans="1:3" x14ac:dyDescent="0.3">
      <c r="A49" t="s">
        <v>71</v>
      </c>
      <c r="B49">
        <v>2211</v>
      </c>
      <c r="C49" t="s">
        <v>46</v>
      </c>
    </row>
    <row r="50" spans="1:3" x14ac:dyDescent="0.3">
      <c r="A50" t="s">
        <v>73</v>
      </c>
      <c r="B50">
        <v>811.4</v>
      </c>
      <c r="C50" t="s">
        <v>46</v>
      </c>
    </row>
    <row r="51" spans="1:3" x14ac:dyDescent="0.3">
      <c r="A51" t="s">
        <v>74</v>
      </c>
      <c r="B51">
        <v>473.98</v>
      </c>
      <c r="C51" t="s">
        <v>46</v>
      </c>
    </row>
    <row r="52" spans="1:3" x14ac:dyDescent="0.3">
      <c r="A52" t="s">
        <v>75</v>
      </c>
      <c r="B52">
        <v>337.43</v>
      </c>
      <c r="C52" t="s">
        <v>46</v>
      </c>
    </row>
    <row r="53" spans="1:3" x14ac:dyDescent="0.3">
      <c r="A53" t="s">
        <v>77</v>
      </c>
      <c r="B53">
        <v>38.96</v>
      </c>
      <c r="C53" t="s">
        <v>46</v>
      </c>
    </row>
    <row r="54" spans="1:3" x14ac:dyDescent="0.3">
      <c r="A54" t="s">
        <v>79</v>
      </c>
      <c r="B54">
        <v>28388.81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0.14000000000000001</v>
      </c>
      <c r="C58" t="s">
        <v>5</v>
      </c>
    </row>
    <row r="59" spans="1:3" x14ac:dyDescent="0.3">
      <c r="A59" t="s">
        <v>18</v>
      </c>
      <c r="B59">
        <v>0.14000000000000001</v>
      </c>
      <c r="C59" t="s">
        <v>5</v>
      </c>
    </row>
    <row r="60" spans="1:3" x14ac:dyDescent="0.3">
      <c r="A60" t="s">
        <v>31</v>
      </c>
      <c r="B60" s="2">
        <v>-8.1800000000000004E-4</v>
      </c>
      <c r="C60" t="s">
        <v>5</v>
      </c>
    </row>
    <row r="61" spans="1:3" x14ac:dyDescent="0.3">
      <c r="A61" t="s">
        <v>32</v>
      </c>
      <c r="B61">
        <v>25.29</v>
      </c>
      <c r="C61" t="s">
        <v>33</v>
      </c>
    </row>
    <row r="62" spans="1:3" x14ac:dyDescent="0.3">
      <c r="A62" t="s">
        <v>34</v>
      </c>
      <c r="B62">
        <v>76.290000000000006</v>
      </c>
      <c r="C62" t="s">
        <v>33</v>
      </c>
    </row>
    <row r="63" spans="1:3" x14ac:dyDescent="0.3">
      <c r="A63" t="s">
        <v>21</v>
      </c>
      <c r="B63">
        <v>0.27</v>
      </c>
      <c r="C63" t="s">
        <v>35</v>
      </c>
    </row>
    <row r="64" spans="1:3" x14ac:dyDescent="0.3">
      <c r="A64" t="s">
        <v>36</v>
      </c>
      <c r="B64">
        <v>20.28</v>
      </c>
      <c r="C64" t="s">
        <v>33</v>
      </c>
    </row>
    <row r="65" spans="1:3" x14ac:dyDescent="0.3">
      <c r="A65" t="s">
        <v>37</v>
      </c>
      <c r="B65">
        <v>16.59</v>
      </c>
      <c r="C65" t="s">
        <v>33</v>
      </c>
    </row>
    <row r="66" spans="1:3" x14ac:dyDescent="0.3">
      <c r="A66" t="s">
        <v>22</v>
      </c>
      <c r="B66">
        <v>0.28999999999999998</v>
      </c>
      <c r="C66" t="s">
        <v>35</v>
      </c>
    </row>
    <row r="67" spans="1:3" x14ac:dyDescent="0.3">
      <c r="A67" t="s">
        <v>19</v>
      </c>
      <c r="B67">
        <v>75.7</v>
      </c>
      <c r="C67" t="s">
        <v>33</v>
      </c>
    </row>
    <row r="68" spans="1:3" x14ac:dyDescent="0.3">
      <c r="A68" t="s">
        <v>20</v>
      </c>
      <c r="B68">
        <v>3.71</v>
      </c>
      <c r="C68" t="s">
        <v>33</v>
      </c>
    </row>
    <row r="69" spans="1:3" x14ac:dyDescent="0.3">
      <c r="A69" t="s">
        <v>23</v>
      </c>
      <c r="B69">
        <v>1.95</v>
      </c>
      <c r="C69" t="s">
        <v>33</v>
      </c>
    </row>
    <row r="70" spans="1:3" x14ac:dyDescent="0.3">
      <c r="A70" t="s">
        <v>38</v>
      </c>
      <c r="B70">
        <v>5.82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0.14000000000000001</v>
      </c>
      <c r="C72" t="s">
        <v>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11ED-B7AA-4617-9007-935AB04E5A9E}">
  <sheetPr codeName="Sheet46"/>
  <dimension ref="A1:I56"/>
  <sheetViews>
    <sheetView workbookViewId="0">
      <selection activeCell="A13" sqref="A13"/>
    </sheetView>
  </sheetViews>
  <sheetFormatPr defaultRowHeight="14.4" x14ac:dyDescent="0.3"/>
  <cols>
    <col min="1" max="1" width="19.5546875" customWidth="1"/>
    <col min="2" max="2" width="19.44140625" customWidth="1"/>
    <col min="3" max="9" width="12" bestFit="1" customWidth="1"/>
  </cols>
  <sheetData>
    <row r="1" spans="1:9" x14ac:dyDescent="0.3">
      <c r="A1" t="s">
        <v>537</v>
      </c>
    </row>
    <row r="2" spans="1:9" x14ac:dyDescent="0.3">
      <c r="A2" t="s">
        <v>538</v>
      </c>
    </row>
    <row r="3" spans="1:9" x14ac:dyDescent="0.3">
      <c r="A3" t="s">
        <v>539</v>
      </c>
      <c r="B3">
        <v>2.4</v>
      </c>
    </row>
    <row r="4" spans="1:9" ht="15.6" x14ac:dyDescent="0.35">
      <c r="A4" t="s">
        <v>540</v>
      </c>
      <c r="B4" s="9" t="s">
        <v>541</v>
      </c>
      <c r="C4" t="s">
        <v>542</v>
      </c>
      <c r="D4" t="s">
        <v>543</v>
      </c>
      <c r="E4" t="s">
        <v>544</v>
      </c>
      <c r="F4" t="s">
        <v>21</v>
      </c>
      <c r="G4" t="s">
        <v>22</v>
      </c>
      <c r="H4" t="s">
        <v>23</v>
      </c>
      <c r="I4" t="s">
        <v>38</v>
      </c>
    </row>
    <row r="5" spans="1:9" ht="17.25" customHeight="1" x14ac:dyDescent="0.3">
      <c r="B5" s="13" t="s">
        <v>545</v>
      </c>
      <c r="C5" s="13"/>
      <c r="D5" s="13"/>
      <c r="E5" s="13"/>
      <c r="F5" s="13"/>
      <c r="G5" s="13"/>
      <c r="H5" s="13"/>
      <c r="I5" s="13"/>
    </row>
    <row r="6" spans="1:9" x14ac:dyDescent="0.3">
      <c r="A6" t="s">
        <v>546</v>
      </c>
      <c r="B6">
        <v>3.6013020626693665E-3</v>
      </c>
      <c r="C6">
        <v>1.1428637776727714E-2</v>
      </c>
      <c r="D6">
        <v>9.0374908895895814E-8</v>
      </c>
      <c r="E6">
        <v>5.6470077063622032E-7</v>
      </c>
      <c r="F6">
        <v>2.9112967529800246E-4</v>
      </c>
      <c r="G6">
        <v>1.9442730333704572E-4</v>
      </c>
      <c r="H6">
        <v>1.47653384569444E-6</v>
      </c>
      <c r="I6">
        <v>1.7286249900812962E-6</v>
      </c>
    </row>
    <row r="7" spans="1:9" x14ac:dyDescent="0.3">
      <c r="A7" t="s">
        <v>547</v>
      </c>
      <c r="B7">
        <v>3.9823530026381329E-3</v>
      </c>
      <c r="C7">
        <v>1.2636944752462163E-2</v>
      </c>
      <c r="D7">
        <v>1.2050576614407581E-7</v>
      </c>
      <c r="E7">
        <v>6.2963506216234953E-7</v>
      </c>
      <c r="F7">
        <v>3.2605265693736796E-4</v>
      </c>
      <c r="G7">
        <v>2.1502803495810084E-4</v>
      </c>
      <c r="H7">
        <v>1.6327647310816344E-6</v>
      </c>
      <c r="I7">
        <v>1.911529441266304E-6</v>
      </c>
    </row>
    <row r="8" spans="1:9" x14ac:dyDescent="0.3">
      <c r="B8" t="s">
        <v>548</v>
      </c>
    </row>
    <row r="9" spans="1:9" x14ac:dyDescent="0.3">
      <c r="A9" t="s">
        <v>549</v>
      </c>
      <c r="B9">
        <v>413.41330800000003</v>
      </c>
      <c r="C9">
        <v>1313.4869276760003</v>
      </c>
      <c r="D9">
        <v>7.2848160000000012E-3</v>
      </c>
      <c r="E9">
        <v>5.645732400000001E-2</v>
      </c>
      <c r="F9">
        <v>26.771698800000003</v>
      </c>
      <c r="G9">
        <v>22.273324920000004</v>
      </c>
      <c r="H9">
        <v>0.16949945627999999</v>
      </c>
      <c r="I9">
        <v>0.19843838784000001</v>
      </c>
    </row>
    <row r="11" spans="1:9" x14ac:dyDescent="0.3">
      <c r="A11" t="s">
        <v>550</v>
      </c>
    </row>
    <row r="12" spans="1:9" x14ac:dyDescent="0.3">
      <c r="A12" t="s">
        <v>539</v>
      </c>
      <c r="B12">
        <v>0.1</v>
      </c>
    </row>
    <row r="13" spans="1:9" x14ac:dyDescent="0.3">
      <c r="A13" t="s">
        <v>546</v>
      </c>
      <c r="B13">
        <v>3.6013020626693665E-3</v>
      </c>
      <c r="C13">
        <v>1.1428637776727714E-2</v>
      </c>
      <c r="D13">
        <v>9.0374908895895814E-8</v>
      </c>
      <c r="E13">
        <v>5.6470077063622032E-7</v>
      </c>
      <c r="F13">
        <v>2.9112967529800246E-4</v>
      </c>
      <c r="G13">
        <v>8.2455079645777135E-6</v>
      </c>
      <c r="H13">
        <v>1.47653384569444E-6</v>
      </c>
      <c r="I13">
        <v>1.7286249900812962E-6</v>
      </c>
    </row>
    <row r="14" spans="1:9" x14ac:dyDescent="0.3">
      <c r="A14" t="s">
        <v>547</v>
      </c>
      <c r="B14">
        <v>3.9823530026381329E-3</v>
      </c>
      <c r="C14">
        <v>1.2636944752462163E-2</v>
      </c>
      <c r="D14">
        <v>1.2050576614407581E-7</v>
      </c>
      <c r="E14">
        <v>6.2963506216234953E-7</v>
      </c>
      <c r="F14">
        <v>3.2605265693736796E-4</v>
      </c>
      <c r="G14">
        <v>9.0386870657908039E-6</v>
      </c>
      <c r="H14">
        <v>1.6327647310816344E-6</v>
      </c>
      <c r="I14">
        <v>1.911529441266304E-6</v>
      </c>
    </row>
    <row r="15" spans="1:9" x14ac:dyDescent="0.3">
      <c r="B15" t="s">
        <v>548</v>
      </c>
    </row>
    <row r="16" spans="1:9" x14ac:dyDescent="0.3">
      <c r="A16" t="s">
        <v>549</v>
      </c>
      <c r="B16">
        <v>413.41330800000003</v>
      </c>
      <c r="C16">
        <v>1313.4869276760003</v>
      </c>
      <c r="D16">
        <v>7.2848160000000012E-3</v>
      </c>
      <c r="E16">
        <v>5.645732400000001E-2</v>
      </c>
      <c r="F16">
        <v>26.771698800000003</v>
      </c>
      <c r="G16">
        <v>1.0745103600000001</v>
      </c>
      <c r="H16">
        <v>0.16949945627999999</v>
      </c>
      <c r="I16">
        <v>0.19843838784000001</v>
      </c>
    </row>
    <row r="19" spans="1:9" x14ac:dyDescent="0.3">
      <c r="C19">
        <f>C6/C13</f>
        <v>1</v>
      </c>
      <c r="D19">
        <f t="shared" ref="D19:I20" si="0">D6/D13</f>
        <v>1</v>
      </c>
      <c r="E19">
        <f t="shared" si="0"/>
        <v>1</v>
      </c>
      <c r="F19">
        <f t="shared" si="0"/>
        <v>1</v>
      </c>
      <c r="G19">
        <f t="shared" si="0"/>
        <v>23.579784795830118</v>
      </c>
      <c r="H19">
        <f t="shared" si="0"/>
        <v>1</v>
      </c>
      <c r="I19">
        <f t="shared" si="0"/>
        <v>1</v>
      </c>
    </row>
    <row r="20" spans="1:9" x14ac:dyDescent="0.3">
      <c r="C20">
        <f>C7/C14</f>
        <v>1</v>
      </c>
      <c r="D20">
        <f t="shared" si="0"/>
        <v>1</v>
      </c>
      <c r="E20">
        <f t="shared" si="0"/>
        <v>1</v>
      </c>
      <c r="F20">
        <f t="shared" si="0"/>
        <v>1</v>
      </c>
      <c r="G20">
        <f t="shared" si="0"/>
        <v>23.789742181907016</v>
      </c>
      <c r="H20">
        <f t="shared" si="0"/>
        <v>1</v>
      </c>
      <c r="I20">
        <f t="shared" si="0"/>
        <v>1</v>
      </c>
    </row>
    <row r="23" spans="1:9" x14ac:dyDescent="0.3">
      <c r="A23" t="s">
        <v>551</v>
      </c>
      <c r="B23">
        <v>40400</v>
      </c>
    </row>
    <row r="24" spans="1:9" x14ac:dyDescent="0.3">
      <c r="A24" t="s">
        <v>552</v>
      </c>
      <c r="B24">
        <v>195</v>
      </c>
    </row>
    <row r="25" spans="1:9" x14ac:dyDescent="0.3">
      <c r="A25" t="s">
        <v>553</v>
      </c>
      <c r="B25">
        <v>37457</v>
      </c>
    </row>
    <row r="26" spans="1:9" x14ac:dyDescent="0.3">
      <c r="A26" t="s">
        <v>554</v>
      </c>
      <c r="B26">
        <v>8278.2000000000007</v>
      </c>
    </row>
    <row r="27" spans="1:9" x14ac:dyDescent="0.3">
      <c r="A27" t="s">
        <v>555</v>
      </c>
      <c r="B27">
        <v>107.31</v>
      </c>
      <c r="C27" t="s">
        <v>556</v>
      </c>
      <c r="D27">
        <v>1.0189999999999999</v>
      </c>
    </row>
    <row r="28" spans="1:9" x14ac:dyDescent="0.3">
      <c r="A28" t="s">
        <v>557</v>
      </c>
      <c r="B28">
        <f>1.852*2271.332</f>
        <v>4206.506864</v>
      </c>
      <c r="C28" t="s">
        <v>558</v>
      </c>
      <c r="D28">
        <f>18.35*1.852</f>
        <v>33.984200000000001</v>
      </c>
    </row>
    <row r="29" spans="1:9" x14ac:dyDescent="0.3">
      <c r="A29" t="s">
        <v>559</v>
      </c>
      <c r="B29">
        <v>0.83</v>
      </c>
      <c r="C29" t="s">
        <v>560</v>
      </c>
      <c r="D29">
        <v>0.6</v>
      </c>
    </row>
    <row r="30" spans="1:9" x14ac:dyDescent="0.3">
      <c r="A30" t="s">
        <v>561</v>
      </c>
      <c r="B30">
        <v>0.13</v>
      </c>
      <c r="C30" t="s">
        <v>562</v>
      </c>
      <c r="D30">
        <v>0.25</v>
      </c>
    </row>
    <row r="31" spans="1:9" x14ac:dyDescent="0.3">
      <c r="A31" t="s">
        <v>563</v>
      </c>
    </row>
    <row r="32" spans="1:9" ht="15.6" x14ac:dyDescent="0.35">
      <c r="A32" t="s">
        <v>564</v>
      </c>
      <c r="B32" s="9" t="s">
        <v>541</v>
      </c>
      <c r="C32" t="s">
        <v>542</v>
      </c>
      <c r="D32" t="s">
        <v>543</v>
      </c>
      <c r="E32" t="s">
        <v>544</v>
      </c>
      <c r="F32" t="s">
        <v>21</v>
      </c>
      <c r="G32" t="s">
        <v>22</v>
      </c>
      <c r="H32" t="s">
        <v>23</v>
      </c>
      <c r="I32" t="s">
        <v>38</v>
      </c>
    </row>
    <row r="33" spans="1:9" ht="14.4" customHeight="1" x14ac:dyDescent="0.3">
      <c r="B33" t="s">
        <v>565</v>
      </c>
      <c r="C33" s="13" t="s">
        <v>545</v>
      </c>
      <c r="D33" s="13"/>
      <c r="E33" s="13"/>
      <c r="F33" s="13"/>
      <c r="G33" s="13"/>
      <c r="H33" s="13"/>
      <c r="I33" s="13"/>
    </row>
    <row r="34" spans="1:9" x14ac:dyDescent="0.3">
      <c r="A34" t="s">
        <v>547</v>
      </c>
      <c r="B34" s="10">
        <f>((B25*B24*B29+227*B26*B30)*B27)/(B23*B28)*10^-3</f>
        <v>3.9823530026381329E-3</v>
      </c>
      <c r="C34">
        <f>((B25*618.75*B29+721.219*B26*B30)*B27)/(B23*B28)*10^-3</f>
        <v>1.2636944752462163E-2</v>
      </c>
      <c r="D34">
        <f>((B25*0.006*B29+0.004*B26*B30)*B27)/(B23*B28)*10^-3</f>
        <v>1.2050576614407581E-7</v>
      </c>
      <c r="E34">
        <f>((B25*0.031*B29+0.031*B26*B30)*B27)/(B23*B28)*10^-3</f>
        <v>6.2963506216234953E-7</v>
      </c>
      <c r="F34">
        <f>((B25*16.1*B29+14.7*B26*B30)*B27)/(B23*B28)*10^-3</f>
        <v>3.2605265693736796E-4</v>
      </c>
      <c r="G34">
        <f>((B25*10.53*B29+12.23*B26*B30)*B27)/(B23*B28)*10^-3</f>
        <v>2.1502803495810084E-4</v>
      </c>
      <c r="H34">
        <f>((B25*195*B29*0.41+227*B26*B30*0.41)*B27)/(B23*B28)*10^-6</f>
        <v>1.6327647310816344E-6</v>
      </c>
      <c r="I34">
        <f>((B25*195*B29*0.48+227*B26*B30*0.48)*B27)/(B23*B28)*10^-6</f>
        <v>1.911529441266304E-6</v>
      </c>
    </row>
    <row r="35" spans="1:9" x14ac:dyDescent="0.3">
      <c r="A35" t="s">
        <v>566</v>
      </c>
      <c r="B35" s="10">
        <f>((B25*B24*D29+227*B26*D30)*D27)/(B23*D28)*10^-3</f>
        <v>3.6013020626693665E-3</v>
      </c>
      <c r="C35">
        <f>((B25*618.75*D29+721.219*B26*D30)*D27)/(B23*D28)*10^-3</f>
        <v>1.1428637776727714E-2</v>
      </c>
      <c r="D35">
        <f>((B25*0.006*0.6+0.004*B26*0.25)*B27)/(B23*B28)*10^-3</f>
        <v>9.0374908895895814E-8</v>
      </c>
      <c r="E35">
        <f>((B25*0.031*D29+0.031*B26*D30)*D27)/(B23*D28)*10^-3</f>
        <v>5.6470077063622032E-7</v>
      </c>
      <c r="F35">
        <f>((B25*16.1*D29+14.7*B26*D30)*D27)/(B23*D28)*10^-3</f>
        <v>2.9112967529800246E-4</v>
      </c>
      <c r="G35">
        <f>((B25*10.53*D29+12.23*B26*D30)*D27)/(B23*D28)*10^-3</f>
        <v>1.9442730333704572E-4</v>
      </c>
      <c r="H35">
        <f>((B25*195*D29*0.41+227*B26*D30*0.41)*D27)/(B23*D28)*10^-6</f>
        <v>1.47653384569444E-6</v>
      </c>
      <c r="I35">
        <f>((B25*195*D29*0.48+227*B26*D30*0.48)*D27)/(B23*D28)*10^-6</f>
        <v>1.7286249900812962E-6</v>
      </c>
    </row>
    <row r="36" spans="1:9" ht="16.8" x14ac:dyDescent="0.35">
      <c r="B36" t="s">
        <v>567</v>
      </c>
      <c r="C36" t="s">
        <v>542</v>
      </c>
      <c r="D36" t="s">
        <v>543</v>
      </c>
      <c r="E36" t="s">
        <v>544</v>
      </c>
      <c r="F36" t="s">
        <v>21</v>
      </c>
      <c r="G36" t="s">
        <v>22</v>
      </c>
      <c r="H36" t="s">
        <v>23</v>
      </c>
      <c r="I36" t="s">
        <v>38</v>
      </c>
    </row>
    <row r="37" spans="1:9" ht="16.2" x14ac:dyDescent="0.3">
      <c r="C37" s="14" t="s">
        <v>545</v>
      </c>
      <c r="D37" s="14"/>
      <c r="E37" s="14"/>
      <c r="F37" s="14"/>
      <c r="G37" s="14"/>
      <c r="H37" s="14"/>
      <c r="I37" s="14"/>
    </row>
    <row r="38" spans="1:9" x14ac:dyDescent="0.3">
      <c r="A38" t="s">
        <v>549</v>
      </c>
      <c r="B38">
        <f>(B26*0.22*227)*10^-3</f>
        <v>413.41330800000003</v>
      </c>
      <c r="C38">
        <f>((B26*0.22*721.219)*10^-3)</f>
        <v>1313.4869276760003</v>
      </c>
      <c r="D38">
        <f>((B26*0.22*0.004)*10^-3)</f>
        <v>7.2848160000000012E-3</v>
      </c>
      <c r="E38">
        <f>((B26*0.22*0.031)*10^-3)</f>
        <v>5.645732400000001E-2</v>
      </c>
      <c r="F38">
        <f>((B26*0.22*14.7)*10^-3)</f>
        <v>26.771698800000003</v>
      </c>
      <c r="G38">
        <f>((B26*0.22*12.23)*10^-3)</f>
        <v>22.273324920000004</v>
      </c>
      <c r="H38">
        <f>((B26*0.22*227*0.41)*10^-6)</f>
        <v>0.16949945627999999</v>
      </c>
      <c r="I38">
        <f>((B26*0.22*227*0.48)*10^-6)</f>
        <v>0.19843838784000001</v>
      </c>
    </row>
    <row r="41" spans="1:9" x14ac:dyDescent="0.3">
      <c r="A41" t="s">
        <v>551</v>
      </c>
      <c r="B41">
        <v>40400</v>
      </c>
    </row>
    <row r="42" spans="1:9" x14ac:dyDescent="0.3">
      <c r="A42" t="s">
        <v>552</v>
      </c>
      <c r="B42">
        <v>195</v>
      </c>
    </row>
    <row r="43" spans="1:9" x14ac:dyDescent="0.3">
      <c r="A43" t="s">
        <v>553</v>
      </c>
      <c r="B43">
        <v>37457</v>
      </c>
    </row>
    <row r="44" spans="1:9" x14ac:dyDescent="0.3">
      <c r="A44" t="s">
        <v>554</v>
      </c>
      <c r="B44">
        <v>8278.2000000000007</v>
      </c>
    </row>
    <row r="45" spans="1:9" x14ac:dyDescent="0.3">
      <c r="A45" t="s">
        <v>555</v>
      </c>
      <c r="B45">
        <v>107.31</v>
      </c>
      <c r="C45" t="s">
        <v>556</v>
      </c>
      <c r="D45">
        <v>1.0189999999999999</v>
      </c>
    </row>
    <row r="46" spans="1:9" x14ac:dyDescent="0.3">
      <c r="A46" t="s">
        <v>557</v>
      </c>
      <c r="B46">
        <f>1.852*2271.332</f>
        <v>4206.506864</v>
      </c>
      <c r="C46" t="s">
        <v>558</v>
      </c>
      <c r="D46">
        <f>18.35*1.852</f>
        <v>33.984200000000001</v>
      </c>
    </row>
    <row r="47" spans="1:9" x14ac:dyDescent="0.3">
      <c r="A47" t="s">
        <v>559</v>
      </c>
      <c r="B47">
        <v>0.83</v>
      </c>
      <c r="C47" t="s">
        <v>560</v>
      </c>
      <c r="D47">
        <v>0.6</v>
      </c>
    </row>
    <row r="48" spans="1:9" x14ac:dyDescent="0.3">
      <c r="A48" t="s">
        <v>561</v>
      </c>
      <c r="B48">
        <v>0.13</v>
      </c>
      <c r="C48" t="s">
        <v>562</v>
      </c>
      <c r="D48">
        <v>0.25</v>
      </c>
    </row>
    <row r="49" spans="1:9" x14ac:dyDescent="0.3">
      <c r="A49" t="s">
        <v>563</v>
      </c>
    </row>
    <row r="50" spans="1:9" ht="15.6" x14ac:dyDescent="0.35">
      <c r="A50" t="s">
        <v>564</v>
      </c>
      <c r="B50" s="9" t="s">
        <v>541</v>
      </c>
      <c r="C50" t="s">
        <v>542</v>
      </c>
      <c r="D50" t="s">
        <v>543</v>
      </c>
      <c r="E50" t="s">
        <v>544</v>
      </c>
      <c r="F50" t="s">
        <v>21</v>
      </c>
      <c r="G50" t="s">
        <v>22</v>
      </c>
      <c r="H50" t="s">
        <v>23</v>
      </c>
      <c r="I50" t="s">
        <v>38</v>
      </c>
    </row>
    <row r="51" spans="1:9" ht="16.2" x14ac:dyDescent="0.3">
      <c r="B51" t="s">
        <v>565</v>
      </c>
      <c r="C51" s="13" t="s">
        <v>545</v>
      </c>
      <c r="D51" s="13"/>
      <c r="E51" s="13"/>
      <c r="F51" s="13"/>
      <c r="G51" s="13"/>
      <c r="H51" s="13"/>
      <c r="I51" s="13"/>
    </row>
    <row r="52" spans="1:9" x14ac:dyDescent="0.3">
      <c r="A52" t="s">
        <v>547</v>
      </c>
      <c r="B52" s="10">
        <f>((B43*B42*B47+227*B44*B48)*B45)/(B41*B46)*10^-3</f>
        <v>3.9823530026381329E-3</v>
      </c>
      <c r="C52">
        <f>((B43*618.75*B47+721.219*B44*B48)*B45)/(B41*B46)*10^-3</f>
        <v>1.2636944752462163E-2</v>
      </c>
      <c r="D52">
        <f>((B43*0.006*B47+0.004*B44*B48)*B45)/(B41*B46)*10^-3</f>
        <v>1.2050576614407581E-7</v>
      </c>
      <c r="E52">
        <f>((B43*0.031*B47+0.031*B44*B48)*B45)/(B41*B46)*10^-3</f>
        <v>6.2963506216234953E-7</v>
      </c>
      <c r="F52">
        <f>((B43*16.1*B47+14.7*B44*B48)*B45)/(B41*B46)*10^-3</f>
        <v>3.2605265693736796E-4</v>
      </c>
      <c r="G52">
        <f>((B43*0.44*B47+0.59*B44*B48)*B45)/(B41*B46)*10^-3</f>
        <v>9.0386870657908039E-6</v>
      </c>
      <c r="H52">
        <f>((B43*195*B47*0.41+227*B44*B48*0.41)*B45)/(B41*B46)*10^-6</f>
        <v>1.6327647310816344E-6</v>
      </c>
      <c r="I52">
        <f>((B43*195*B47*0.48+227*B44*B48*0.48)*B45)/(B41*B46)*10^-6</f>
        <v>1.911529441266304E-6</v>
      </c>
    </row>
    <row r="53" spans="1:9" x14ac:dyDescent="0.3">
      <c r="A53" t="s">
        <v>566</v>
      </c>
      <c r="B53" s="10">
        <f>((B43*B42*D47+227*B44*D48)*D45)/(B41*D46)*10^-3</f>
        <v>3.6013020626693665E-3</v>
      </c>
      <c r="C53">
        <f>((B43*618.75*D47+721.219*B44*D48)*D45)/(B41*D46)*10^-3</f>
        <v>1.1428637776727714E-2</v>
      </c>
      <c r="D53">
        <f>((B43*0.006*0.6+0.004*B44*0.25)*B45)/(B41*B46)*10^-3</f>
        <v>9.0374908895895814E-8</v>
      </c>
      <c r="E53">
        <f>((B43*0.031*D47+0.031*B44*D48)*D45)/(B41*D46)*10^-3</f>
        <v>5.6470077063622032E-7</v>
      </c>
      <c r="F53">
        <f>((B43*16.1*D47+14.7*B44*D48)*D45)/(B41*D46)*10^-3</f>
        <v>2.9112967529800246E-4</v>
      </c>
      <c r="G53">
        <f>((B43*0.44*D47+0.59*B44*D48)*D45)/(B41*D46)*10^-3</f>
        <v>8.2455079645777135E-6</v>
      </c>
      <c r="H53">
        <f>((B43*195*D47*0.41+227*B44*D48*0.41)*D45)/(B41*D46)*10^-6</f>
        <v>1.47653384569444E-6</v>
      </c>
      <c r="I53">
        <f>((B43*195*D47*0.48+227*B44*D48*0.48)*D45)/(B41*D46)*10^-6</f>
        <v>1.7286249900812962E-6</v>
      </c>
    </row>
    <row r="54" spans="1:9" ht="16.8" x14ac:dyDescent="0.35">
      <c r="B54" t="s">
        <v>567</v>
      </c>
      <c r="C54" t="s">
        <v>542</v>
      </c>
      <c r="D54" t="s">
        <v>543</v>
      </c>
      <c r="E54" t="s">
        <v>544</v>
      </c>
      <c r="F54" t="s">
        <v>21</v>
      </c>
      <c r="G54" t="s">
        <v>22</v>
      </c>
      <c r="H54" t="s">
        <v>23</v>
      </c>
      <c r="I54" t="s">
        <v>38</v>
      </c>
    </row>
    <row r="55" spans="1:9" ht="16.2" x14ac:dyDescent="0.3">
      <c r="C55" s="14" t="s">
        <v>545</v>
      </c>
      <c r="D55" s="14"/>
      <c r="E55" s="14"/>
      <c r="F55" s="14"/>
      <c r="G55" s="14"/>
      <c r="H55" s="14"/>
      <c r="I55" s="14"/>
    </row>
    <row r="56" spans="1:9" x14ac:dyDescent="0.3">
      <c r="A56" t="s">
        <v>549</v>
      </c>
      <c r="B56">
        <f>(B44*0.22*227)*10^-3</f>
        <v>413.41330800000003</v>
      </c>
      <c r="C56">
        <f>((B44*0.22*721.219)*10^-3)</f>
        <v>1313.4869276760003</v>
      </c>
      <c r="D56">
        <f>((B44*0.22*0.004)*10^-3)</f>
        <v>7.2848160000000012E-3</v>
      </c>
      <c r="E56">
        <f>((B44*0.22*0.031)*10^-3)</f>
        <v>5.645732400000001E-2</v>
      </c>
      <c r="F56">
        <f>((B44*0.22*14.7)*10^-3)</f>
        <v>26.771698800000003</v>
      </c>
      <c r="G56">
        <f>((B44*0.22*0.59)*10^-3)</f>
        <v>1.0745103600000001</v>
      </c>
      <c r="H56">
        <f>((B44*0.22*227*0.41)*10^-6)</f>
        <v>0.16949945627999999</v>
      </c>
      <c r="I56">
        <f>((B44*0.22*227*0.48)*10^-6)</f>
        <v>0.19843838784000001</v>
      </c>
    </row>
  </sheetData>
  <mergeCells count="5">
    <mergeCell ref="B5:I5"/>
    <mergeCell ref="C33:I33"/>
    <mergeCell ref="C37:I37"/>
    <mergeCell ref="C51:I51"/>
    <mergeCell ref="C55:I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BB8-6CBC-4A44-B8EF-EECBA0382BF2}">
  <sheetPr codeName="Sheet45"/>
  <dimension ref="A1:C73"/>
  <sheetViews>
    <sheetView workbookViewId="0">
      <selection activeCell="J26" sqref="J26"/>
    </sheetView>
  </sheetViews>
  <sheetFormatPr defaultRowHeight="14.4" x14ac:dyDescent="0.3"/>
  <sheetData>
    <row r="1" spans="1:3" x14ac:dyDescent="0.3">
      <c r="A1" t="s">
        <v>535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0.3</v>
      </c>
      <c r="C5" t="s">
        <v>5</v>
      </c>
    </row>
    <row r="6" spans="1:3" x14ac:dyDescent="0.3">
      <c r="A6" t="s">
        <v>18</v>
      </c>
      <c r="B6">
        <v>0.3</v>
      </c>
      <c r="C6" t="s">
        <v>5</v>
      </c>
    </row>
    <row r="7" spans="1:3" x14ac:dyDescent="0.3">
      <c r="A7" t="s">
        <v>31</v>
      </c>
      <c r="B7" s="2">
        <v>-2.9799999999999998E-4</v>
      </c>
      <c r="C7" t="s">
        <v>5</v>
      </c>
    </row>
    <row r="8" spans="1:3" x14ac:dyDescent="0.3">
      <c r="A8" t="s">
        <v>32</v>
      </c>
      <c r="B8">
        <v>0.39</v>
      </c>
      <c r="C8" t="s">
        <v>35</v>
      </c>
    </row>
    <row r="9" spans="1:3" x14ac:dyDescent="0.3">
      <c r="A9" t="s">
        <v>34</v>
      </c>
      <c r="B9">
        <v>0.63</v>
      </c>
      <c r="C9" t="s">
        <v>35</v>
      </c>
    </row>
    <row r="10" spans="1:3" x14ac:dyDescent="0.3">
      <c r="A10" t="s">
        <v>21</v>
      </c>
      <c r="B10">
        <v>1.77</v>
      </c>
      <c r="C10" t="s">
        <v>35</v>
      </c>
    </row>
    <row r="11" spans="1:3" x14ac:dyDescent="0.3">
      <c r="A11" t="s">
        <v>36</v>
      </c>
      <c r="B11">
        <v>0.12</v>
      </c>
      <c r="C11" t="s">
        <v>35</v>
      </c>
    </row>
    <row r="12" spans="1:3" x14ac:dyDescent="0.3">
      <c r="A12" t="s">
        <v>37</v>
      </c>
      <c r="B12">
        <v>0.1</v>
      </c>
      <c r="C12" t="s">
        <v>35</v>
      </c>
    </row>
    <row r="13" spans="1:3" x14ac:dyDescent="0.3">
      <c r="A13" t="s">
        <v>22</v>
      </c>
      <c r="B13">
        <v>1.94</v>
      </c>
      <c r="C13" t="s">
        <v>35</v>
      </c>
    </row>
    <row r="14" spans="1:3" x14ac:dyDescent="0.3">
      <c r="A14" t="s">
        <v>19</v>
      </c>
      <c r="B14">
        <v>0.78</v>
      </c>
      <c r="C14" t="s">
        <v>35</v>
      </c>
    </row>
    <row r="15" spans="1:3" x14ac:dyDescent="0.3">
      <c r="A15" t="s">
        <v>20</v>
      </c>
      <c r="B15">
        <v>1.39</v>
      </c>
      <c r="C15" t="s">
        <v>35</v>
      </c>
    </row>
    <row r="16" spans="1:3" x14ac:dyDescent="0.3">
      <c r="A16" t="s">
        <v>23</v>
      </c>
      <c r="B16">
        <v>23.4</v>
      </c>
      <c r="C16" t="s">
        <v>33</v>
      </c>
    </row>
    <row r="17" spans="1:3" x14ac:dyDescent="0.3">
      <c r="A17" t="s">
        <v>38</v>
      </c>
      <c r="B17">
        <v>15.56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0.7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29</v>
      </c>
      <c r="C24" t="s">
        <v>12</v>
      </c>
    </row>
    <row r="25" spans="1:3" x14ac:dyDescent="0.3">
      <c r="A25" t="s">
        <v>47</v>
      </c>
      <c r="B25">
        <v>1325.74</v>
      </c>
      <c r="C25" t="s">
        <v>48</v>
      </c>
    </row>
    <row r="26" spans="1:3" x14ac:dyDescent="0.3">
      <c r="A26" t="s">
        <v>52</v>
      </c>
      <c r="B26">
        <v>727.2</v>
      </c>
      <c r="C26" t="s">
        <v>48</v>
      </c>
    </row>
    <row r="27" spans="1:3" x14ac:dyDescent="0.3">
      <c r="A27" t="s">
        <v>51</v>
      </c>
      <c r="B27">
        <v>483.08</v>
      </c>
      <c r="C27" t="s">
        <v>48</v>
      </c>
    </row>
    <row r="28" spans="1:3" x14ac:dyDescent="0.3">
      <c r="A28" t="s">
        <v>49</v>
      </c>
      <c r="B28">
        <v>58.05</v>
      </c>
      <c r="C28" t="s">
        <v>48</v>
      </c>
    </row>
    <row r="29" spans="1:3" x14ac:dyDescent="0.3">
      <c r="A29" t="s">
        <v>50</v>
      </c>
      <c r="B29">
        <v>57.41</v>
      </c>
      <c r="C29" t="s">
        <v>48</v>
      </c>
    </row>
    <row r="30" spans="1:3" x14ac:dyDescent="0.3">
      <c r="A30" t="s">
        <v>53</v>
      </c>
      <c r="B30">
        <v>806.07</v>
      </c>
      <c r="C30" t="s">
        <v>46</v>
      </c>
    </row>
    <row r="31" spans="1:3" x14ac:dyDescent="0.3">
      <c r="A31" t="s">
        <v>54</v>
      </c>
      <c r="B31">
        <v>3304</v>
      </c>
      <c r="C31" t="s">
        <v>46</v>
      </c>
    </row>
    <row r="32" spans="1:3" x14ac:dyDescent="0.3">
      <c r="A32" t="s">
        <v>55</v>
      </c>
      <c r="B32">
        <v>184.01</v>
      </c>
      <c r="C32" t="s">
        <v>46</v>
      </c>
    </row>
    <row r="33" spans="1:3" x14ac:dyDescent="0.3">
      <c r="A33" t="s">
        <v>56</v>
      </c>
      <c r="B33">
        <v>3248.13</v>
      </c>
      <c r="C33" t="s">
        <v>58</v>
      </c>
    </row>
    <row r="34" spans="1:3" x14ac:dyDescent="0.3">
      <c r="A34" t="s">
        <v>57</v>
      </c>
      <c r="B34">
        <v>1546.71</v>
      </c>
      <c r="C34" t="s">
        <v>58</v>
      </c>
    </row>
    <row r="35" spans="1:3" x14ac:dyDescent="0.3">
      <c r="A35" t="s">
        <v>536</v>
      </c>
      <c r="B35">
        <v>24</v>
      </c>
      <c r="C35" t="s">
        <v>12</v>
      </c>
    </row>
    <row r="36" spans="1:3" x14ac:dyDescent="0.3">
      <c r="A36" t="s">
        <v>59</v>
      </c>
      <c r="B36">
        <v>895.86</v>
      </c>
      <c r="C36" t="s">
        <v>58</v>
      </c>
    </row>
    <row r="37" spans="1:3" x14ac:dyDescent="0.3">
      <c r="A37" t="s">
        <v>60</v>
      </c>
      <c r="B37">
        <v>0.37</v>
      </c>
      <c r="C37" t="s">
        <v>33</v>
      </c>
    </row>
    <row r="38" spans="1:3" x14ac:dyDescent="0.3">
      <c r="A38" t="s">
        <v>61</v>
      </c>
      <c r="B38">
        <v>12.52</v>
      </c>
      <c r="C38" t="s">
        <v>46</v>
      </c>
    </row>
    <row r="39" spans="1:3" x14ac:dyDescent="0.3">
      <c r="A39" t="s">
        <v>62</v>
      </c>
      <c r="B39">
        <v>39.520000000000003</v>
      </c>
      <c r="C39" t="s">
        <v>46</v>
      </c>
    </row>
    <row r="40" spans="1:3" x14ac:dyDescent="0.3">
      <c r="A40" t="s">
        <v>63</v>
      </c>
      <c r="B40">
        <v>786.15</v>
      </c>
      <c r="C40" t="s">
        <v>58</v>
      </c>
    </row>
    <row r="41" spans="1:3" x14ac:dyDescent="0.3">
      <c r="A41" t="s">
        <v>64</v>
      </c>
      <c r="B41">
        <v>1210.3800000000001</v>
      </c>
      <c r="C41" t="s">
        <v>58</v>
      </c>
    </row>
    <row r="42" spans="1:3" x14ac:dyDescent="0.3">
      <c r="A42" t="s">
        <v>65</v>
      </c>
      <c r="B42">
        <v>9448.44</v>
      </c>
      <c r="C42" t="s">
        <v>58</v>
      </c>
    </row>
    <row r="43" spans="1:3" x14ac:dyDescent="0.3">
      <c r="A43" t="s">
        <v>66</v>
      </c>
      <c r="B43">
        <v>130.61000000000001</v>
      </c>
      <c r="C43" t="s">
        <v>46</v>
      </c>
    </row>
    <row r="44" spans="1:3" x14ac:dyDescent="0.3">
      <c r="A44" t="s">
        <v>67</v>
      </c>
      <c r="B44">
        <v>88.25</v>
      </c>
      <c r="C44" t="s">
        <v>46</v>
      </c>
    </row>
    <row r="45" spans="1:3" x14ac:dyDescent="0.3">
      <c r="A45" t="s">
        <v>68</v>
      </c>
      <c r="B45">
        <v>106.18</v>
      </c>
      <c r="C45" t="s">
        <v>46</v>
      </c>
    </row>
    <row r="46" spans="1:3" x14ac:dyDescent="0.3">
      <c r="A46" t="s">
        <v>39</v>
      </c>
      <c r="B46" t="s">
        <v>69</v>
      </c>
    </row>
    <row r="47" spans="1:3" x14ac:dyDescent="0.3">
      <c r="A47" t="s">
        <v>73</v>
      </c>
      <c r="B47">
        <v>24</v>
      </c>
      <c r="C47" t="s">
        <v>12</v>
      </c>
    </row>
    <row r="48" spans="1:3" x14ac:dyDescent="0.3">
      <c r="A48" t="s">
        <v>75</v>
      </c>
      <c r="B48">
        <v>24</v>
      </c>
      <c r="C48" t="s">
        <v>12</v>
      </c>
    </row>
    <row r="49" spans="1:3" x14ac:dyDescent="0.3">
      <c r="A49" t="s">
        <v>77</v>
      </c>
      <c r="B49">
        <v>24</v>
      </c>
      <c r="C49" t="s">
        <v>12</v>
      </c>
    </row>
    <row r="50" spans="1:3" x14ac:dyDescent="0.3">
      <c r="A50" t="s">
        <v>70</v>
      </c>
      <c r="B50">
        <v>4620</v>
      </c>
      <c r="C50" t="s">
        <v>46</v>
      </c>
    </row>
    <row r="51" spans="1:3" x14ac:dyDescent="0.3">
      <c r="A51" t="s">
        <v>72</v>
      </c>
      <c r="B51">
        <v>3304</v>
      </c>
      <c r="C51" t="s">
        <v>46</v>
      </c>
    </row>
    <row r="52" spans="1:3" x14ac:dyDescent="0.3">
      <c r="A52" t="s">
        <v>76</v>
      </c>
      <c r="B52">
        <v>1133</v>
      </c>
      <c r="C52" t="s">
        <v>46</v>
      </c>
    </row>
    <row r="53" spans="1:3" x14ac:dyDescent="0.3">
      <c r="A53" t="s">
        <v>71</v>
      </c>
      <c r="B53">
        <v>184.01</v>
      </c>
      <c r="C53" t="s">
        <v>46</v>
      </c>
    </row>
    <row r="54" spans="1:3" x14ac:dyDescent="0.3">
      <c r="A54" t="s">
        <v>74</v>
      </c>
      <c r="B54">
        <v>39.520000000000003</v>
      </c>
      <c r="C54" t="s">
        <v>46</v>
      </c>
    </row>
    <row r="55" spans="1:3" x14ac:dyDescent="0.3">
      <c r="A55" t="s">
        <v>79</v>
      </c>
      <c r="B55">
        <v>1325.74</v>
      </c>
      <c r="C55" t="s">
        <v>48</v>
      </c>
    </row>
    <row r="56" spans="1:3" x14ac:dyDescent="0.3">
      <c r="A56" t="s">
        <v>78</v>
      </c>
    </row>
    <row r="57" spans="1:3" x14ac:dyDescent="0.3">
      <c r="A57" t="s">
        <v>29</v>
      </c>
    </row>
    <row r="58" spans="1:3" x14ac:dyDescent="0.3">
      <c r="A58" t="s">
        <v>28</v>
      </c>
    </row>
    <row r="59" spans="1:3" x14ac:dyDescent="0.3">
      <c r="A59" t="s">
        <v>30</v>
      </c>
      <c r="B59">
        <v>15.6</v>
      </c>
      <c r="C59" t="s">
        <v>35</v>
      </c>
    </row>
    <row r="60" spans="1:3" x14ac:dyDescent="0.3">
      <c r="A60" t="s">
        <v>18</v>
      </c>
      <c r="B60">
        <v>15.67</v>
      </c>
      <c r="C60" t="s">
        <v>35</v>
      </c>
    </row>
    <row r="61" spans="1:3" x14ac:dyDescent="0.3">
      <c r="A61" t="s">
        <v>31</v>
      </c>
      <c r="B61" s="2">
        <v>-6.8200000000000004E-5</v>
      </c>
      <c r="C61" t="s">
        <v>5</v>
      </c>
    </row>
    <row r="62" spans="1:3" x14ac:dyDescent="0.3">
      <c r="A62" t="s">
        <v>32</v>
      </c>
      <c r="B62">
        <v>5.22</v>
      </c>
      <c r="C62" t="s">
        <v>33</v>
      </c>
    </row>
    <row r="63" spans="1:3" x14ac:dyDescent="0.3">
      <c r="A63" t="s">
        <v>34</v>
      </c>
      <c r="B63">
        <v>12.83</v>
      </c>
      <c r="C63" t="s">
        <v>33</v>
      </c>
    </row>
    <row r="64" spans="1:3" x14ac:dyDescent="0.3">
      <c r="A64" t="s">
        <v>21</v>
      </c>
      <c r="B64">
        <v>31.07</v>
      </c>
      <c r="C64" t="s">
        <v>33</v>
      </c>
    </row>
    <row r="65" spans="1:3" x14ac:dyDescent="0.3">
      <c r="A65" t="s">
        <v>36</v>
      </c>
      <c r="B65">
        <v>2.17</v>
      </c>
      <c r="C65" t="s">
        <v>33</v>
      </c>
    </row>
    <row r="66" spans="1:3" x14ac:dyDescent="0.3">
      <c r="A66" t="s">
        <v>37</v>
      </c>
      <c r="B66">
        <v>1.74</v>
      </c>
      <c r="C66" t="s">
        <v>33</v>
      </c>
    </row>
    <row r="67" spans="1:3" x14ac:dyDescent="0.3">
      <c r="A67" t="s">
        <v>22</v>
      </c>
      <c r="B67">
        <v>26.61</v>
      </c>
      <c r="C67" t="s">
        <v>33</v>
      </c>
    </row>
    <row r="68" spans="1:3" x14ac:dyDescent="0.3">
      <c r="A68" t="s">
        <v>19</v>
      </c>
      <c r="B68">
        <v>15.58</v>
      </c>
      <c r="C68" t="s">
        <v>33</v>
      </c>
    </row>
    <row r="69" spans="1:3" x14ac:dyDescent="0.3">
      <c r="A69" t="s">
        <v>20</v>
      </c>
      <c r="B69">
        <v>0.64</v>
      </c>
      <c r="C69" t="s">
        <v>33</v>
      </c>
    </row>
    <row r="70" spans="1:3" x14ac:dyDescent="0.3">
      <c r="A70" t="s">
        <v>23</v>
      </c>
      <c r="B70">
        <v>0.21</v>
      </c>
      <c r="C70" t="s">
        <v>33</v>
      </c>
    </row>
    <row r="71" spans="1:3" x14ac:dyDescent="0.3">
      <c r="A71" t="s">
        <v>38</v>
      </c>
      <c r="B71">
        <v>0.54</v>
      </c>
      <c r="C71" t="s">
        <v>33</v>
      </c>
    </row>
    <row r="72" spans="1:3" x14ac:dyDescent="0.3">
      <c r="A72" t="s">
        <v>39</v>
      </c>
    </row>
    <row r="73" spans="1:3" x14ac:dyDescent="0.3">
      <c r="A73" t="s">
        <v>41</v>
      </c>
      <c r="B73">
        <v>16.28</v>
      </c>
      <c r="C73" t="s">
        <v>35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2B97-5C04-47A4-BDCD-CB83780B8655}">
  <sheetPr codeName="Sheet43"/>
  <dimension ref="A1:J5"/>
  <sheetViews>
    <sheetView workbookViewId="0">
      <selection activeCell="D4" sqref="D4"/>
    </sheetView>
  </sheetViews>
  <sheetFormatPr defaultRowHeight="14.4" x14ac:dyDescent="0.3"/>
  <cols>
    <col min="6" max="7" width="11" bestFit="1" customWidth="1"/>
    <col min="9" max="10" width="11" bestFit="1" customWidth="1"/>
  </cols>
  <sheetData>
    <row r="1" spans="1:10" x14ac:dyDescent="0.3">
      <c r="A1" s="8" t="s">
        <v>527</v>
      </c>
    </row>
    <row r="2" spans="1:10" x14ac:dyDescent="0.3">
      <c r="A2" t="s">
        <v>526</v>
      </c>
      <c r="B2" t="s">
        <v>3</v>
      </c>
      <c r="C2" t="s">
        <v>528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  <c r="I2" t="s">
        <v>451</v>
      </c>
      <c r="J2" t="s">
        <v>452</v>
      </c>
    </row>
    <row r="3" spans="1:10" x14ac:dyDescent="0.3">
      <c r="A3" t="s">
        <v>11</v>
      </c>
      <c r="B3" t="s">
        <v>12</v>
      </c>
      <c r="D3">
        <f>'Grain drying inputs_Simapro'!B3*'NG-fired electricity_GREET'!B5</f>
        <v>0.84</v>
      </c>
      <c r="E3">
        <f>'Grain drying inputs_Simapro'!B3*'NG-fired electricity_GREET'!B14*10^-3</f>
        <v>2.1700000000000001E-3</v>
      </c>
      <c r="F3">
        <f>'Grain drying inputs_Simapro'!B3*'NG-fired electricity_GREET'!B15*10^-6</f>
        <v>1.2109999999999999E-5</v>
      </c>
      <c r="G3">
        <f>'Grain drying inputs_Simapro'!B3*'NG-fired electricity_GREET'!B10*10^-3</f>
        <v>7.7000000000000007E-4</v>
      </c>
      <c r="H3">
        <f>'Grain drying inputs_Simapro'!B3*'NG-fired electricity_GREET'!B13*10^-6</f>
        <v>1.8591999999999998E-4</v>
      </c>
      <c r="I3">
        <f>'Grain drying inputs_Simapro'!B3*'NG-fired electricity_GREET'!B16*10^-6</f>
        <v>4.8299999999999995E-6</v>
      </c>
      <c r="J3">
        <f>'Grain drying inputs_Simapro'!B3*'NG-fired electricity_GREET'!B17*10^-6</f>
        <v>1.2109999999999999E-5</v>
      </c>
    </row>
    <row r="4" spans="1:10" x14ac:dyDescent="0.3">
      <c r="A4" t="s">
        <v>9</v>
      </c>
      <c r="B4" t="s">
        <v>10</v>
      </c>
      <c r="D4">
        <f>'Grain drying inputs_Simapro'!B4*'Electricity US Mix_GREET'!H5</f>
        <v>0.51</v>
      </c>
      <c r="E4">
        <f>'Grain drying inputs_Simapro'!B4*'Electricity US Mix_GREET'!H14*10^-3</f>
        <v>9.7999999999999997E-4</v>
      </c>
      <c r="F4">
        <f>'Grain drying inputs_Simapro'!B4*'Electricity US Mix_GREET'!H15*10^-6</f>
        <v>8.0399999999999993E-6</v>
      </c>
      <c r="G4">
        <f>'Grain drying inputs_Simapro'!B4*'Electricity US Mix_GREET'!H10*10^-3</f>
        <v>3.5999999999999997E-4</v>
      </c>
      <c r="H4">
        <f>'Grain drying inputs_Simapro'!B4*'Electricity US Mix_GREET'!H13*10^-3</f>
        <v>9.3999999999999997E-4</v>
      </c>
      <c r="I4">
        <f>'Grain drying inputs_Simapro'!B4*'Electricity US Mix_GREET'!H16*10^-6</f>
        <v>2.2799999999999998E-6</v>
      </c>
      <c r="J4">
        <f>'Grain drying inputs_Simapro'!B4*'Electricity US Mix_GREET'!H17*10^-6</f>
        <v>5.2199999999999991E-6</v>
      </c>
    </row>
    <row r="5" spans="1:10" x14ac:dyDescent="0.3">
      <c r="C5" t="s">
        <v>25</v>
      </c>
      <c r="D5">
        <f>SUM(D3:D4)</f>
        <v>1.35</v>
      </c>
      <c r="E5">
        <f t="shared" ref="E5:J5" si="0">SUM(E3:E4)</f>
        <v>3.15E-3</v>
      </c>
      <c r="F5">
        <f t="shared" si="0"/>
        <v>2.0149999999999999E-5</v>
      </c>
      <c r="G5">
        <f t="shared" si="0"/>
        <v>1.1299999999999999E-3</v>
      </c>
      <c r="H5">
        <f t="shared" si="0"/>
        <v>1.1259199999999999E-3</v>
      </c>
      <c r="I5">
        <f t="shared" si="0"/>
        <v>7.1099999999999997E-6</v>
      </c>
      <c r="J5">
        <f t="shared" si="0"/>
        <v>1.7329999999999998E-5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F22E-A9B3-4304-9136-D9181AE95DFF}">
  <sheetPr codeName="Sheet42"/>
  <dimension ref="A1:C4"/>
  <sheetViews>
    <sheetView workbookViewId="0">
      <selection sqref="A1:A4"/>
    </sheetView>
  </sheetViews>
  <sheetFormatPr defaultRowHeight="14.4" x14ac:dyDescent="0.3"/>
  <cols>
    <col min="1" max="1" width="37.6640625" customWidth="1"/>
  </cols>
  <sheetData>
    <row r="1" spans="1:3" x14ac:dyDescent="0.3">
      <c r="A1" s="8" t="s">
        <v>525</v>
      </c>
    </row>
    <row r="2" spans="1:3" x14ac:dyDescent="0.3">
      <c r="A2" t="s">
        <v>526</v>
      </c>
      <c r="B2" t="s">
        <v>2</v>
      </c>
      <c r="C2" t="s">
        <v>3</v>
      </c>
    </row>
    <row r="3" spans="1:3" x14ac:dyDescent="0.3">
      <c r="A3" t="s">
        <v>11</v>
      </c>
      <c r="B3">
        <v>7</v>
      </c>
      <c r="C3" t="s">
        <v>12</v>
      </c>
    </row>
    <row r="4" spans="1:3" x14ac:dyDescent="0.3">
      <c r="A4" t="s">
        <v>9</v>
      </c>
      <c r="B4">
        <v>1</v>
      </c>
      <c r="C4" t="s">
        <v>10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A3ED-0624-43B8-93D0-6180E9156413}">
  <sheetPr codeName="Sheet29"/>
  <dimension ref="A1:C72"/>
  <sheetViews>
    <sheetView workbookViewId="0">
      <selection activeCell="K25" sqref="K25"/>
    </sheetView>
  </sheetViews>
  <sheetFormatPr defaultRowHeight="14.4" x14ac:dyDescent="0.3"/>
  <sheetData>
    <row r="1" spans="1:3" x14ac:dyDescent="0.3">
      <c r="A1" t="s">
        <v>489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21.04</v>
      </c>
      <c r="C5" t="s">
        <v>5</v>
      </c>
    </row>
    <row r="6" spans="1:3" x14ac:dyDescent="0.3">
      <c r="A6" t="s">
        <v>18</v>
      </c>
      <c r="B6">
        <v>21.07</v>
      </c>
      <c r="C6" t="s">
        <v>5</v>
      </c>
    </row>
    <row r="7" spans="1:3" x14ac:dyDescent="0.3">
      <c r="A7" t="s">
        <v>31</v>
      </c>
      <c r="B7">
        <v>-0.03</v>
      </c>
      <c r="C7" t="s">
        <v>5</v>
      </c>
    </row>
    <row r="8" spans="1:3" x14ac:dyDescent="0.3">
      <c r="A8" t="s">
        <v>32</v>
      </c>
      <c r="B8">
        <v>2.52</v>
      </c>
      <c r="C8" t="s">
        <v>35</v>
      </c>
    </row>
    <row r="9" spans="1:3" x14ac:dyDescent="0.3">
      <c r="A9" t="s">
        <v>34</v>
      </c>
      <c r="B9">
        <v>22</v>
      </c>
      <c r="C9" t="s">
        <v>35</v>
      </c>
    </row>
    <row r="10" spans="1:3" x14ac:dyDescent="0.3">
      <c r="A10" t="s">
        <v>21</v>
      </c>
      <c r="B10">
        <v>62.08</v>
      </c>
      <c r="C10" t="s">
        <v>35</v>
      </c>
    </row>
    <row r="11" spans="1:3" x14ac:dyDescent="0.3">
      <c r="A11" t="s">
        <v>36</v>
      </c>
      <c r="B11">
        <v>3.34</v>
      </c>
      <c r="C11" t="s">
        <v>35</v>
      </c>
    </row>
    <row r="12" spans="1:3" x14ac:dyDescent="0.3">
      <c r="A12" t="s">
        <v>37</v>
      </c>
      <c r="B12">
        <v>2.66</v>
      </c>
      <c r="C12" t="s">
        <v>35</v>
      </c>
    </row>
    <row r="13" spans="1:3" x14ac:dyDescent="0.3">
      <c r="A13" t="s">
        <v>22</v>
      </c>
      <c r="B13">
        <v>13.21</v>
      </c>
      <c r="C13" t="s">
        <v>35</v>
      </c>
    </row>
    <row r="14" spans="1:3" x14ac:dyDescent="0.3">
      <c r="A14" t="s">
        <v>19</v>
      </c>
      <c r="B14">
        <v>36.99</v>
      </c>
      <c r="C14" t="s">
        <v>35</v>
      </c>
    </row>
    <row r="15" spans="1:3" x14ac:dyDescent="0.3">
      <c r="A15" t="s">
        <v>20</v>
      </c>
      <c r="B15">
        <v>0.33</v>
      </c>
      <c r="C15" t="s">
        <v>35</v>
      </c>
    </row>
    <row r="16" spans="1:3" x14ac:dyDescent="0.3">
      <c r="A16" t="s">
        <v>23</v>
      </c>
      <c r="B16">
        <v>1.05</v>
      </c>
      <c r="C16" t="s">
        <v>35</v>
      </c>
    </row>
    <row r="17" spans="1:3" x14ac:dyDescent="0.3">
      <c r="A17" t="s">
        <v>38</v>
      </c>
      <c r="B17">
        <v>0.62</v>
      </c>
      <c r="C17" t="s">
        <v>35</v>
      </c>
    </row>
    <row r="18" spans="1:3" x14ac:dyDescent="0.3">
      <c r="A18" t="s">
        <v>39</v>
      </c>
    </row>
    <row r="19" spans="1:3" x14ac:dyDescent="0.3">
      <c r="A19" t="s">
        <v>41</v>
      </c>
      <c r="B19">
        <v>22.28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313</v>
      </c>
      <c r="C24" t="s">
        <v>12</v>
      </c>
    </row>
    <row r="25" spans="1:3" x14ac:dyDescent="0.3">
      <c r="A25" t="s">
        <v>47</v>
      </c>
      <c r="B25">
        <v>43219.16</v>
      </c>
      <c r="C25" t="s">
        <v>48</v>
      </c>
    </row>
    <row r="26" spans="1:3" x14ac:dyDescent="0.3">
      <c r="A26" t="s">
        <v>49</v>
      </c>
      <c r="B26">
        <v>16713.8</v>
      </c>
      <c r="C26" t="s">
        <v>48</v>
      </c>
    </row>
    <row r="27" spans="1:3" x14ac:dyDescent="0.3">
      <c r="A27" t="s">
        <v>50</v>
      </c>
      <c r="B27">
        <v>13378.86</v>
      </c>
      <c r="C27" t="s">
        <v>48</v>
      </c>
    </row>
    <row r="28" spans="1:3" x14ac:dyDescent="0.3">
      <c r="A28" t="s">
        <v>51</v>
      </c>
      <c r="B28">
        <v>9549.81</v>
      </c>
      <c r="C28" t="s">
        <v>48</v>
      </c>
    </row>
    <row r="29" spans="1:3" x14ac:dyDescent="0.3">
      <c r="A29" t="s">
        <v>52</v>
      </c>
      <c r="B29">
        <v>3576.69</v>
      </c>
      <c r="C29" t="s">
        <v>48</v>
      </c>
    </row>
    <row r="30" spans="1:3" x14ac:dyDescent="0.3">
      <c r="A30" t="s">
        <v>53</v>
      </c>
      <c r="B30">
        <v>105</v>
      </c>
      <c r="C30" t="s">
        <v>12</v>
      </c>
    </row>
    <row r="31" spans="1:3" x14ac:dyDescent="0.3">
      <c r="A31" t="s">
        <v>54</v>
      </c>
      <c r="B31">
        <v>105</v>
      </c>
      <c r="C31" t="s">
        <v>12</v>
      </c>
    </row>
    <row r="32" spans="1:3" x14ac:dyDescent="0.3">
      <c r="A32" t="s">
        <v>55</v>
      </c>
      <c r="B32">
        <v>42</v>
      </c>
      <c r="C32" t="s">
        <v>12</v>
      </c>
    </row>
    <row r="33" spans="1:3" x14ac:dyDescent="0.3">
      <c r="A33" t="s">
        <v>56</v>
      </c>
      <c r="B33">
        <v>308.08999999999997</v>
      </c>
      <c r="C33" t="s">
        <v>46</v>
      </c>
    </row>
    <row r="34" spans="1:3" x14ac:dyDescent="0.3">
      <c r="A34" t="s">
        <v>57</v>
      </c>
      <c r="B34">
        <v>200.17</v>
      </c>
      <c r="C34" t="s">
        <v>46</v>
      </c>
    </row>
    <row r="35" spans="1:3" x14ac:dyDescent="0.3">
      <c r="A35" t="s">
        <v>59</v>
      </c>
      <c r="B35">
        <v>241.83</v>
      </c>
      <c r="C35" t="s">
        <v>46</v>
      </c>
    </row>
    <row r="36" spans="1:3" x14ac:dyDescent="0.3">
      <c r="A36" t="s">
        <v>60</v>
      </c>
      <c r="B36">
        <v>91.11</v>
      </c>
      <c r="C36" t="s">
        <v>33</v>
      </c>
    </row>
    <row r="37" spans="1:3" x14ac:dyDescent="0.3">
      <c r="A37" t="s">
        <v>61</v>
      </c>
      <c r="B37">
        <v>3605</v>
      </c>
      <c r="C37" t="s">
        <v>46</v>
      </c>
    </row>
    <row r="38" spans="1:3" x14ac:dyDescent="0.3">
      <c r="A38" t="s">
        <v>62</v>
      </c>
      <c r="B38">
        <v>9618</v>
      </c>
      <c r="C38" t="s">
        <v>46</v>
      </c>
    </row>
    <row r="39" spans="1:3" x14ac:dyDescent="0.3">
      <c r="A39" t="s">
        <v>63</v>
      </c>
      <c r="B39">
        <v>207.38</v>
      </c>
      <c r="C39" t="s">
        <v>46</v>
      </c>
    </row>
    <row r="40" spans="1:3" x14ac:dyDescent="0.3">
      <c r="A40" t="s">
        <v>64</v>
      </c>
      <c r="B40">
        <v>569.46</v>
      </c>
      <c r="C40" t="s">
        <v>46</v>
      </c>
    </row>
    <row r="41" spans="1:3" x14ac:dyDescent="0.3">
      <c r="A41" t="s">
        <v>65</v>
      </c>
      <c r="B41">
        <v>2985</v>
      </c>
      <c r="C41" t="s">
        <v>46</v>
      </c>
    </row>
    <row r="42" spans="1:3" x14ac:dyDescent="0.3">
      <c r="A42" t="s">
        <v>66</v>
      </c>
      <c r="B42">
        <v>17</v>
      </c>
      <c r="C42" t="s">
        <v>12</v>
      </c>
    </row>
    <row r="43" spans="1:3" x14ac:dyDescent="0.3">
      <c r="A43" t="s">
        <v>67</v>
      </c>
      <c r="B43">
        <v>12</v>
      </c>
      <c r="C43" t="s">
        <v>12</v>
      </c>
    </row>
    <row r="44" spans="1:3" x14ac:dyDescent="0.3">
      <c r="A44" t="s">
        <v>68</v>
      </c>
      <c r="B44">
        <v>14</v>
      </c>
      <c r="C44" t="s">
        <v>12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296</v>
      </c>
      <c r="C46" t="s">
        <v>12</v>
      </c>
    </row>
    <row r="47" spans="1:3" x14ac:dyDescent="0.3">
      <c r="A47" t="s">
        <v>76</v>
      </c>
      <c r="B47">
        <v>148</v>
      </c>
      <c r="C47" t="s">
        <v>12</v>
      </c>
    </row>
    <row r="48" spans="1:3" x14ac:dyDescent="0.3">
      <c r="A48" t="s">
        <v>72</v>
      </c>
      <c r="B48">
        <v>105</v>
      </c>
      <c r="C48" t="s">
        <v>12</v>
      </c>
    </row>
    <row r="49" spans="1:3" x14ac:dyDescent="0.3">
      <c r="A49" t="s">
        <v>71</v>
      </c>
      <c r="B49">
        <v>42</v>
      </c>
      <c r="C49" t="s">
        <v>12</v>
      </c>
    </row>
    <row r="50" spans="1:3" x14ac:dyDescent="0.3">
      <c r="A50" t="s">
        <v>73</v>
      </c>
      <c r="B50">
        <v>18</v>
      </c>
      <c r="C50" t="s">
        <v>12</v>
      </c>
    </row>
    <row r="51" spans="1:3" x14ac:dyDescent="0.3">
      <c r="A51" t="s">
        <v>74</v>
      </c>
      <c r="B51">
        <v>9618</v>
      </c>
      <c r="C51" t="s">
        <v>46</v>
      </c>
    </row>
    <row r="52" spans="1:3" x14ac:dyDescent="0.3">
      <c r="A52" t="s">
        <v>75</v>
      </c>
      <c r="B52">
        <v>7917</v>
      </c>
      <c r="C52" t="s">
        <v>46</v>
      </c>
    </row>
    <row r="53" spans="1:3" x14ac:dyDescent="0.3">
      <c r="A53" t="s">
        <v>77</v>
      </c>
      <c r="B53">
        <v>308.08999999999997</v>
      </c>
      <c r="C53" t="s">
        <v>46</v>
      </c>
    </row>
    <row r="54" spans="1:3" x14ac:dyDescent="0.3">
      <c r="A54" t="s">
        <v>79</v>
      </c>
      <c r="B54">
        <v>43219.16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2.64</v>
      </c>
      <c r="C58" t="s">
        <v>5</v>
      </c>
    </row>
    <row r="59" spans="1:3" x14ac:dyDescent="0.3">
      <c r="A59" t="s">
        <v>18</v>
      </c>
      <c r="B59">
        <v>2.64</v>
      </c>
      <c r="C59" t="s">
        <v>5</v>
      </c>
    </row>
    <row r="60" spans="1:3" x14ac:dyDescent="0.3">
      <c r="A60" t="s">
        <v>31</v>
      </c>
      <c r="B60" s="2">
        <v>-3.6699999999999998E-4</v>
      </c>
      <c r="C60" t="s">
        <v>5</v>
      </c>
    </row>
    <row r="61" spans="1:3" x14ac:dyDescent="0.3">
      <c r="A61" t="s">
        <v>32</v>
      </c>
      <c r="B61">
        <v>0.48</v>
      </c>
      <c r="C61" t="s">
        <v>35</v>
      </c>
    </row>
    <row r="62" spans="1:3" x14ac:dyDescent="0.3">
      <c r="A62" t="s">
        <v>34</v>
      </c>
      <c r="B62">
        <v>0.79</v>
      </c>
      <c r="C62" t="s">
        <v>35</v>
      </c>
    </row>
    <row r="63" spans="1:3" x14ac:dyDescent="0.3">
      <c r="A63" t="s">
        <v>21</v>
      </c>
      <c r="B63">
        <v>1.63</v>
      </c>
      <c r="C63" t="s">
        <v>35</v>
      </c>
    </row>
    <row r="64" spans="1:3" x14ac:dyDescent="0.3">
      <c r="A64" t="s">
        <v>36</v>
      </c>
      <c r="B64">
        <v>0.19</v>
      </c>
      <c r="C64" t="s">
        <v>35</v>
      </c>
    </row>
    <row r="65" spans="1:3" x14ac:dyDescent="0.3">
      <c r="A65" t="s">
        <v>37</v>
      </c>
      <c r="B65">
        <v>0.15</v>
      </c>
      <c r="C65" t="s">
        <v>35</v>
      </c>
    </row>
    <row r="66" spans="1:3" x14ac:dyDescent="0.3">
      <c r="A66" t="s">
        <v>22</v>
      </c>
      <c r="B66">
        <v>4.2699999999999996</v>
      </c>
      <c r="C66" t="s">
        <v>35</v>
      </c>
    </row>
    <row r="67" spans="1:3" x14ac:dyDescent="0.3">
      <c r="A67" t="s">
        <v>19</v>
      </c>
      <c r="B67">
        <v>0.95</v>
      </c>
      <c r="C67" t="s">
        <v>35</v>
      </c>
    </row>
    <row r="68" spans="1:3" x14ac:dyDescent="0.3">
      <c r="A68" t="s">
        <v>20</v>
      </c>
      <c r="B68">
        <v>44.35</v>
      </c>
      <c r="C68" t="s">
        <v>33</v>
      </c>
    </row>
    <row r="69" spans="1:3" x14ac:dyDescent="0.3">
      <c r="A69" t="s">
        <v>23</v>
      </c>
      <c r="B69">
        <v>13.02</v>
      </c>
      <c r="C69" t="s">
        <v>33</v>
      </c>
    </row>
    <row r="70" spans="1:3" x14ac:dyDescent="0.3">
      <c r="A70" t="s">
        <v>38</v>
      </c>
      <c r="B70">
        <v>24.46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2.69</v>
      </c>
      <c r="C72" t="s">
        <v>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CB69-F46E-4C43-BC2D-C2AE115A27AE}">
  <sheetPr codeName="Sheet21"/>
  <dimension ref="A1:C72"/>
  <sheetViews>
    <sheetView workbookViewId="0">
      <selection activeCell="G23" sqref="G23"/>
    </sheetView>
  </sheetViews>
  <sheetFormatPr defaultRowHeight="14.4" x14ac:dyDescent="0.3"/>
  <sheetData>
    <row r="1" spans="1:3" x14ac:dyDescent="0.3">
      <c r="A1" t="s">
        <v>326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0.53</v>
      </c>
      <c r="C5" t="s">
        <v>5</v>
      </c>
    </row>
    <row r="6" spans="1:3" x14ac:dyDescent="0.3">
      <c r="A6" t="s">
        <v>18</v>
      </c>
      <c r="B6">
        <v>0.53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97.92</v>
      </c>
      <c r="C8" t="s">
        <v>33</v>
      </c>
    </row>
    <row r="9" spans="1:3" x14ac:dyDescent="0.3">
      <c r="A9" t="s">
        <v>34</v>
      </c>
      <c r="B9">
        <v>0.3</v>
      </c>
      <c r="C9" t="s">
        <v>35</v>
      </c>
    </row>
    <row r="10" spans="1:3" x14ac:dyDescent="0.3">
      <c r="A10" t="s">
        <v>21</v>
      </c>
      <c r="B10">
        <v>1.54</v>
      </c>
      <c r="C10" t="s">
        <v>35</v>
      </c>
    </row>
    <row r="11" spans="1:3" x14ac:dyDescent="0.3">
      <c r="A11" t="s">
        <v>36</v>
      </c>
      <c r="B11">
        <v>0.16</v>
      </c>
      <c r="C11" t="s">
        <v>35</v>
      </c>
    </row>
    <row r="12" spans="1:3" x14ac:dyDescent="0.3">
      <c r="A12" t="s">
        <v>37</v>
      </c>
      <c r="B12">
        <v>0.11</v>
      </c>
      <c r="C12" t="s">
        <v>35</v>
      </c>
    </row>
    <row r="13" spans="1:3" x14ac:dyDescent="0.3">
      <c r="A13" t="s">
        <v>22</v>
      </c>
      <c r="B13">
        <v>1.94</v>
      </c>
      <c r="C13" t="s">
        <v>35</v>
      </c>
    </row>
    <row r="14" spans="1:3" x14ac:dyDescent="0.3">
      <c r="A14" t="s">
        <v>19</v>
      </c>
      <c r="B14">
        <v>1.0900000000000001</v>
      </c>
      <c r="C14" t="s">
        <v>35</v>
      </c>
    </row>
    <row r="15" spans="1:3" x14ac:dyDescent="0.3">
      <c r="A15" t="s">
        <v>20</v>
      </c>
      <c r="B15">
        <v>10.42</v>
      </c>
      <c r="C15" t="s">
        <v>33</v>
      </c>
    </row>
    <row r="16" spans="1:3" x14ac:dyDescent="0.3">
      <c r="A16" t="s">
        <v>23</v>
      </c>
      <c r="B16">
        <v>13.25</v>
      </c>
      <c r="C16" t="s">
        <v>33</v>
      </c>
    </row>
    <row r="17" spans="1:3" x14ac:dyDescent="0.3">
      <c r="A17" t="s">
        <v>38</v>
      </c>
      <c r="B17">
        <v>34.86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0.56999999999999995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7864</v>
      </c>
      <c r="C24" t="s">
        <v>46</v>
      </c>
    </row>
    <row r="25" spans="1:3" x14ac:dyDescent="0.3">
      <c r="A25" t="s">
        <v>47</v>
      </c>
      <c r="B25">
        <v>2962.73</v>
      </c>
      <c r="C25" t="s">
        <v>48</v>
      </c>
    </row>
    <row r="26" spans="1:3" x14ac:dyDescent="0.3">
      <c r="A26" t="s">
        <v>51</v>
      </c>
      <c r="B26">
        <v>1681.24</v>
      </c>
      <c r="C26" t="s">
        <v>48</v>
      </c>
    </row>
    <row r="27" spans="1:3" x14ac:dyDescent="0.3">
      <c r="A27" t="s">
        <v>49</v>
      </c>
      <c r="B27">
        <v>622.77</v>
      </c>
      <c r="C27" t="s">
        <v>48</v>
      </c>
    </row>
    <row r="28" spans="1:3" x14ac:dyDescent="0.3">
      <c r="A28" t="s">
        <v>50</v>
      </c>
      <c r="B28">
        <v>615.12</v>
      </c>
      <c r="C28" t="s">
        <v>48</v>
      </c>
    </row>
    <row r="29" spans="1:3" x14ac:dyDescent="0.3">
      <c r="A29" t="s">
        <v>52</v>
      </c>
      <c r="B29">
        <v>43.6</v>
      </c>
      <c r="C29" t="s">
        <v>48</v>
      </c>
    </row>
    <row r="30" spans="1:3" x14ac:dyDescent="0.3">
      <c r="A30" t="s">
        <v>53</v>
      </c>
      <c r="B30">
        <v>1574</v>
      </c>
      <c r="C30" t="s">
        <v>46</v>
      </c>
    </row>
    <row r="31" spans="1:3" x14ac:dyDescent="0.3">
      <c r="A31" t="s">
        <v>54</v>
      </c>
      <c r="B31">
        <v>2954</v>
      </c>
      <c r="C31" t="s">
        <v>46</v>
      </c>
    </row>
    <row r="32" spans="1:3" x14ac:dyDescent="0.3">
      <c r="A32" t="s">
        <v>55</v>
      </c>
      <c r="B32">
        <v>1974</v>
      </c>
      <c r="C32" t="s">
        <v>46</v>
      </c>
    </row>
    <row r="33" spans="1:3" x14ac:dyDescent="0.3">
      <c r="A33" t="s">
        <v>56</v>
      </c>
      <c r="B33">
        <v>34.76</v>
      </c>
      <c r="C33" t="s">
        <v>46</v>
      </c>
    </row>
    <row r="34" spans="1:3" x14ac:dyDescent="0.3">
      <c r="A34" t="s">
        <v>57</v>
      </c>
      <c r="B34">
        <v>3020.78</v>
      </c>
      <c r="C34" t="s">
        <v>58</v>
      </c>
    </row>
    <row r="35" spans="1:3" x14ac:dyDescent="0.3">
      <c r="A35" t="s">
        <v>59</v>
      </c>
      <c r="B35">
        <v>9587.7999999999993</v>
      </c>
      <c r="C35" t="s">
        <v>58</v>
      </c>
    </row>
    <row r="36" spans="1:3" x14ac:dyDescent="0.3">
      <c r="A36" t="s">
        <v>60</v>
      </c>
      <c r="B36">
        <v>4.01</v>
      </c>
      <c r="C36" t="s">
        <v>33</v>
      </c>
    </row>
    <row r="37" spans="1:3" x14ac:dyDescent="0.3">
      <c r="A37" t="s">
        <v>61</v>
      </c>
      <c r="B37">
        <v>134.30000000000001</v>
      </c>
      <c r="C37" t="s">
        <v>46</v>
      </c>
    </row>
    <row r="38" spans="1:3" x14ac:dyDescent="0.3">
      <c r="A38" t="s">
        <v>62</v>
      </c>
      <c r="B38">
        <v>422.93</v>
      </c>
      <c r="C38" t="s">
        <v>46</v>
      </c>
    </row>
    <row r="39" spans="1:3" x14ac:dyDescent="0.3">
      <c r="A39" t="s">
        <v>63</v>
      </c>
      <c r="B39">
        <v>8413.64</v>
      </c>
      <c r="C39" t="s">
        <v>58</v>
      </c>
    </row>
    <row r="40" spans="1:3" x14ac:dyDescent="0.3">
      <c r="A40" t="s">
        <v>64</v>
      </c>
      <c r="B40">
        <v>12.95</v>
      </c>
      <c r="C40" t="s">
        <v>46</v>
      </c>
    </row>
    <row r="41" spans="1:3" x14ac:dyDescent="0.3">
      <c r="A41" t="s">
        <v>65</v>
      </c>
      <c r="B41">
        <v>101.12</v>
      </c>
      <c r="C41" t="s">
        <v>46</v>
      </c>
    </row>
    <row r="42" spans="1:3" x14ac:dyDescent="0.3">
      <c r="A42" t="s">
        <v>66</v>
      </c>
      <c r="B42">
        <v>255.09</v>
      </c>
      <c r="C42" t="s">
        <v>46</v>
      </c>
    </row>
    <row r="43" spans="1:3" x14ac:dyDescent="0.3">
      <c r="A43" t="s">
        <v>67</v>
      </c>
      <c r="B43">
        <v>172.35</v>
      </c>
      <c r="C43" t="s">
        <v>46</v>
      </c>
    </row>
    <row r="44" spans="1:3" x14ac:dyDescent="0.3">
      <c r="A44" t="s">
        <v>68</v>
      </c>
      <c r="B44">
        <v>207.38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7140</v>
      </c>
      <c r="C46" t="s">
        <v>46</v>
      </c>
    </row>
    <row r="47" spans="1:3" x14ac:dyDescent="0.3">
      <c r="A47" t="s">
        <v>72</v>
      </c>
      <c r="B47">
        <v>2954</v>
      </c>
      <c r="C47" t="s">
        <v>46</v>
      </c>
    </row>
    <row r="48" spans="1:3" x14ac:dyDescent="0.3">
      <c r="A48" t="s">
        <v>76</v>
      </c>
      <c r="B48">
        <v>2212</v>
      </c>
      <c r="C48" t="s">
        <v>46</v>
      </c>
    </row>
    <row r="49" spans="1:3" x14ac:dyDescent="0.3">
      <c r="A49" t="s">
        <v>71</v>
      </c>
      <c r="B49">
        <v>1974</v>
      </c>
      <c r="C49" t="s">
        <v>46</v>
      </c>
    </row>
    <row r="50" spans="1:3" x14ac:dyDescent="0.3">
      <c r="A50" t="s">
        <v>73</v>
      </c>
      <c r="B50">
        <v>724.06</v>
      </c>
      <c r="C50" t="s">
        <v>46</v>
      </c>
    </row>
    <row r="51" spans="1:3" x14ac:dyDescent="0.3">
      <c r="A51" t="s">
        <v>74</v>
      </c>
      <c r="B51">
        <v>422.93</v>
      </c>
      <c r="C51" t="s">
        <v>46</v>
      </c>
    </row>
    <row r="52" spans="1:3" x14ac:dyDescent="0.3">
      <c r="A52" t="s">
        <v>75</v>
      </c>
      <c r="B52">
        <v>301.14</v>
      </c>
      <c r="C52" t="s">
        <v>46</v>
      </c>
    </row>
    <row r="53" spans="1:3" x14ac:dyDescent="0.3">
      <c r="A53" t="s">
        <v>77</v>
      </c>
      <c r="B53">
        <v>34.76</v>
      </c>
      <c r="C53" t="s">
        <v>46</v>
      </c>
    </row>
    <row r="54" spans="1:3" x14ac:dyDescent="0.3">
      <c r="A54" t="s">
        <v>79</v>
      </c>
      <c r="B54">
        <v>2962.73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0.1</v>
      </c>
      <c r="C58" t="s">
        <v>5</v>
      </c>
    </row>
    <row r="59" spans="1:3" x14ac:dyDescent="0.3">
      <c r="A59" t="s">
        <v>18</v>
      </c>
      <c r="B59">
        <v>0.1</v>
      </c>
      <c r="C59" t="s">
        <v>5</v>
      </c>
    </row>
    <row r="60" spans="1:3" x14ac:dyDescent="0.3">
      <c r="A60" t="s">
        <v>31</v>
      </c>
      <c r="B60" s="2">
        <v>-7.2999999999999996E-4</v>
      </c>
      <c r="C60" t="s">
        <v>5</v>
      </c>
    </row>
    <row r="61" spans="1:3" x14ac:dyDescent="0.3">
      <c r="A61" t="s">
        <v>32</v>
      </c>
      <c r="B61">
        <v>8.1300000000000008</v>
      </c>
      <c r="C61" t="s">
        <v>33</v>
      </c>
    </row>
    <row r="62" spans="1:3" x14ac:dyDescent="0.3">
      <c r="A62" t="s">
        <v>34</v>
      </c>
      <c r="B62">
        <v>29.98</v>
      </c>
      <c r="C62" t="s">
        <v>33</v>
      </c>
    </row>
    <row r="63" spans="1:3" x14ac:dyDescent="0.3">
      <c r="A63" t="s">
        <v>21</v>
      </c>
      <c r="B63">
        <v>0.1</v>
      </c>
      <c r="C63" t="s">
        <v>35</v>
      </c>
    </row>
    <row r="64" spans="1:3" x14ac:dyDescent="0.3">
      <c r="A64" t="s">
        <v>36</v>
      </c>
      <c r="B64">
        <v>10.63</v>
      </c>
      <c r="C64" t="s">
        <v>33</v>
      </c>
    </row>
    <row r="65" spans="1:3" x14ac:dyDescent="0.3">
      <c r="A65" t="s">
        <v>37</v>
      </c>
      <c r="B65">
        <v>8.11</v>
      </c>
      <c r="C65" t="s">
        <v>33</v>
      </c>
    </row>
    <row r="66" spans="1:3" x14ac:dyDescent="0.3">
      <c r="A66" t="s">
        <v>22</v>
      </c>
      <c r="B66">
        <v>0.21</v>
      </c>
      <c r="C66" t="s">
        <v>35</v>
      </c>
    </row>
    <row r="67" spans="1:3" x14ac:dyDescent="0.3">
      <c r="A67" t="s">
        <v>19</v>
      </c>
      <c r="B67">
        <v>23.54</v>
      </c>
      <c r="C67" t="s">
        <v>33</v>
      </c>
    </row>
    <row r="68" spans="1:3" x14ac:dyDescent="0.3">
      <c r="A68" t="s">
        <v>20</v>
      </c>
      <c r="B68">
        <v>1.69</v>
      </c>
      <c r="C68" t="s">
        <v>33</v>
      </c>
    </row>
    <row r="69" spans="1:3" x14ac:dyDescent="0.3">
      <c r="A69" t="s">
        <v>23</v>
      </c>
      <c r="B69">
        <v>0.82</v>
      </c>
      <c r="C69" t="s">
        <v>33</v>
      </c>
    </row>
    <row r="70" spans="1:3" x14ac:dyDescent="0.3">
      <c r="A70" t="s">
        <v>38</v>
      </c>
      <c r="B70">
        <v>2.23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0.1</v>
      </c>
      <c r="C72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D551-9EAF-4304-B7DF-CD254049CF11}">
  <sheetPr codeName="Sheet60"/>
  <dimension ref="A1:H8"/>
  <sheetViews>
    <sheetView workbookViewId="0">
      <selection activeCell="B3" sqref="B3"/>
    </sheetView>
  </sheetViews>
  <sheetFormatPr defaultRowHeight="14.4" x14ac:dyDescent="0.3"/>
  <cols>
    <col min="1" max="1" width="35.5546875" customWidth="1"/>
    <col min="4" max="4" width="9.44140625" customWidth="1"/>
    <col min="5" max="5" width="10.6640625" customWidth="1"/>
    <col min="6" max="6" width="10.21875" customWidth="1"/>
    <col min="7" max="7" width="10" customWidth="1"/>
    <col min="8" max="8" width="10.33203125" customWidth="1"/>
  </cols>
  <sheetData>
    <row r="1" spans="1:8" x14ac:dyDescent="0.3">
      <c r="A1" s="5" t="s">
        <v>580</v>
      </c>
    </row>
    <row r="2" spans="1:8" x14ac:dyDescent="0.3">
      <c r="A2" t="s">
        <v>581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575</v>
      </c>
      <c r="B3" s="2">
        <f>WheatStarch_Narayanaswamy!$B$7*Wheat_flour_results!B7</f>
        <v>0.25426918254382636</v>
      </c>
      <c r="C3" s="2">
        <f>WheatStarch_Narayanaswamy!$B$7*Wheat_flour_results!C7</f>
        <v>7.2845979562546806E-4</v>
      </c>
      <c r="D3" s="2">
        <f>WheatStarch_Narayanaswamy!$B$7*Wheat_flour_results!D7</f>
        <v>9.5212282455710536E-5</v>
      </c>
      <c r="E3" s="2">
        <f>WheatStarch_Narayanaswamy!$B$7*Wheat_flour_results!E7</f>
        <v>4.8390401539557675E-4</v>
      </c>
      <c r="F3" s="2">
        <f>WheatStarch_Narayanaswamy!$B$7*Wheat_flour_results!F7</f>
        <v>1.1870827414938883E-3</v>
      </c>
      <c r="G3" s="2">
        <f>WheatStarch_Narayanaswamy!$B$7*Wheat_flour_results!G7</f>
        <v>3.6266059256338182E-6</v>
      </c>
      <c r="H3" s="2">
        <f>WheatStarch_Narayanaswamy!$B$7*Wheat_flour_results!H7</f>
        <v>8.7712367380420586E-6</v>
      </c>
    </row>
    <row r="4" spans="1:8" x14ac:dyDescent="0.3">
      <c r="A4" s="6" t="s">
        <v>494</v>
      </c>
      <c r="B4" s="2">
        <f>WheatStarch_Narayanaswamy!$B$8*'Electricity US Mix_GREET'!H5</f>
        <v>0.22950000000000001</v>
      </c>
      <c r="C4" s="2">
        <f>WheatStarch_Narayanaswamy!$B$8*'Electricity US Mix_GREET'!H14*10^-3</f>
        <v>4.4099999999999999E-4</v>
      </c>
      <c r="D4" s="2">
        <f>WheatStarch_Narayanaswamy!$B$8*'Electricity US Mix_GREET'!H15*10^-6</f>
        <v>3.6179999999999999E-6</v>
      </c>
      <c r="E4" s="2">
        <f>WheatStarch_Narayanaswamy!$B$8*'Electricity US Mix_GREET'!H10*10^-3</f>
        <v>1.6200000000000001E-4</v>
      </c>
      <c r="F4" s="2">
        <f>WheatStarch_Narayanaswamy!$B$8*'Electricity US Mix_GREET'!H13*10^-3</f>
        <v>4.2299999999999998E-4</v>
      </c>
      <c r="G4" s="2">
        <f>WheatStarch_Narayanaswamy!$B$8*'Electricity US Mix_GREET'!H16*10^-6</f>
        <v>1.026E-6</v>
      </c>
      <c r="H4" s="2">
        <f>WheatStarch_Narayanaswamy!$B$8*'Electricity US Mix_GREET'!H17*10^-6</f>
        <v>2.3489999999999994E-6</v>
      </c>
    </row>
    <row r="5" spans="1:8" x14ac:dyDescent="0.3">
      <c r="A5" s="6" t="s">
        <v>576</v>
      </c>
      <c r="B5" s="2">
        <f>WheatStarch_Narayanaswamy!B9*NG_production_GREET!B5*10^-3</f>
        <v>1.5911999999999999E-2</v>
      </c>
      <c r="C5" s="2">
        <f>WheatStarch_Narayanaswamy!B9*NG_production_GREET!B14*10^-3</f>
        <v>5.1000000000000004E-4</v>
      </c>
      <c r="D5" s="2">
        <f>WheatStarch_Narayanaswamy!B9*NG_production_GREET!B15*10^-9</f>
        <v>1.1254000000000001E-7</v>
      </c>
      <c r="E5" s="2">
        <f>WheatStarch_Narayanaswamy!B9*NG_production_GREET!B10*10^-6</f>
        <v>5.4841999999999988E-5</v>
      </c>
      <c r="F5" s="2">
        <f>WheatStarch_Narayanaswamy!B9*NG_production_GREET!B13*10^-6</f>
        <v>3.6006000000000001E-5</v>
      </c>
      <c r="G5" s="2">
        <f>WheatStarch_Narayanaswamy!B9*NG_production_GREET!B16*10^-6</f>
        <v>4.7600000000000003E-7</v>
      </c>
      <c r="H5" s="2">
        <f>WheatStarch_Narayanaswamy!B9*NG_production_GREET!B17*10^-6</f>
        <v>4.4199999999999996E-7</v>
      </c>
    </row>
    <row r="6" spans="1:8" x14ac:dyDescent="0.3">
      <c r="A6" s="6" t="s">
        <v>577</v>
      </c>
      <c r="B6">
        <f>WheatStarch_Narayanaswamy!$B$10*Biogas_GREET!B5</f>
        <v>-0.20293011</v>
      </c>
      <c r="C6" s="2">
        <f>WheatStarch_Narayanaswamy!$B$10*Biogas_GREET!B14</f>
        <v>-5.4330706432419303E-4</v>
      </c>
      <c r="D6" s="2">
        <f>WheatStarch_Narayanaswamy!$B$10*Biogas_GREET!B15</f>
        <v>-2.8137501484988669E-6</v>
      </c>
      <c r="E6" s="2"/>
      <c r="F6" s="2"/>
      <c r="G6">
        <f>WheatStarch_Narayanaswamy!$B$10*Biogas_GREET!B16</f>
        <v>0</v>
      </c>
      <c r="H6">
        <f>WheatStarch_Narayanaswamy!$B$10*Biogas_GREET!B17</f>
        <v>0</v>
      </c>
    </row>
    <row r="7" spans="1:8" x14ac:dyDescent="0.3">
      <c r="A7" s="6" t="s">
        <v>579</v>
      </c>
      <c r="B7">
        <f>WheatStarch_Narayanaswamy!B12*Steam_heat_GREET!B5*10^-3</f>
        <v>0.69642500000000007</v>
      </c>
      <c r="C7">
        <f>WheatStarch_Narayanaswamy!B12*Steam_heat_GREET!B14*10^-3</f>
        <v>2.3140000000000001E-3</v>
      </c>
      <c r="D7">
        <f>WheatStarch_Narayanaswamy!B12*Steam_heat_GREET!B15*10^-9</f>
        <v>1.8690000000000004E-8</v>
      </c>
      <c r="E7">
        <f>WheatStarch_Narayanaswamy!B12*Steam_heat_GREET!B10*10^-6</f>
        <v>8.5795999999999995E-4</v>
      </c>
      <c r="F7">
        <f>WheatStarch_Narayanaswamy!B12*Steam_heat_GREET!B13*10^-6</f>
        <v>1.25757E-4</v>
      </c>
      <c r="G7">
        <f>WheatStarch_Narayanaswamy!B12*Steam_heat_GREET!B16*10^-6</f>
        <v>7.7430000000000002E-6</v>
      </c>
      <c r="H7">
        <f>WheatStarch_Narayanaswamy!B12*Steam_heat_GREET!B17*10^-6</f>
        <v>1.7443999999999998E-5</v>
      </c>
    </row>
    <row r="8" spans="1:8" x14ac:dyDescent="0.3">
      <c r="A8" s="6" t="s">
        <v>453</v>
      </c>
      <c r="B8" s="2">
        <f t="shared" ref="B8:H8" si="0">SUM(B3:B7)</f>
        <v>0.99317607254382645</v>
      </c>
      <c r="C8" s="2">
        <f t="shared" si="0"/>
        <v>3.4501527313012753E-3</v>
      </c>
      <c r="D8" s="2">
        <f t="shared" si="0"/>
        <v>9.6147762307211685E-5</v>
      </c>
      <c r="E8" s="2">
        <f t="shared" si="0"/>
        <v>1.5587060153955767E-3</v>
      </c>
      <c r="F8" s="2">
        <f t="shared" si="0"/>
        <v>1.7718457414938884E-3</v>
      </c>
      <c r="G8" s="2">
        <f t="shared" si="0"/>
        <v>1.2871605925633818E-5</v>
      </c>
      <c r="H8" s="2">
        <f t="shared" si="0"/>
        <v>2.9006236738042055E-5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0B9D-8443-4EEC-8B9B-D7EE12700A3D}">
  <sheetPr codeName="Sheet20"/>
  <dimension ref="A1:C72"/>
  <sheetViews>
    <sheetView workbookViewId="0">
      <selection activeCell="G22" sqref="G22"/>
    </sheetView>
  </sheetViews>
  <sheetFormatPr defaultRowHeight="14.4" x14ac:dyDescent="0.3"/>
  <sheetData>
    <row r="1" spans="1:3" x14ac:dyDescent="0.3">
      <c r="A1" t="s">
        <v>325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1.1499999999999999</v>
      </c>
      <c r="C5" t="s">
        <v>5</v>
      </c>
    </row>
    <row r="6" spans="1:3" x14ac:dyDescent="0.3">
      <c r="A6" t="s">
        <v>18</v>
      </c>
      <c r="B6" t="e">
        <f>'Potatoes at farm_inputs_Simapro'!E21*#REF!+'Potatoes at farm_inputs_Simapro'!B15*'Ammonia production_GREET'!B154*10^-6+'Potatoes at farm_inputs_Simapro'!B16*Urea_GREET!B15*10^-6+'Ammonium nitrate_GREET'!B15*10^-3+('Potatoes at farm_inputs_Simapro'!B18+'Potatoes at farm_inputs_Simapro'!B19)*'Diammonium phosphate_GREET'!B15*10^-3+'Potatoes at farm_inputs_Simapro'!B20*'Potassium chloride_GREET'!B14*10^-3+'Potatoes at farm_inputs_Simapro'!B21*Plastics_mix_GREET!B14*10^-3</f>
        <v>#REF!</v>
      </c>
      <c r="C6" t="s">
        <v>5</v>
      </c>
    </row>
    <row r="7" spans="1:3" x14ac:dyDescent="0.3">
      <c r="A7" t="s">
        <v>31</v>
      </c>
      <c r="B7">
        <v>0</v>
      </c>
      <c r="C7" t="s">
        <v>5</v>
      </c>
    </row>
    <row r="8" spans="1:3" x14ac:dyDescent="0.3">
      <c r="A8" t="s">
        <v>32</v>
      </c>
      <c r="B8">
        <v>1.35</v>
      </c>
      <c r="C8" t="s">
        <v>35</v>
      </c>
    </row>
    <row r="9" spans="1:3" x14ac:dyDescent="0.3">
      <c r="A9" t="s">
        <v>34</v>
      </c>
      <c r="B9">
        <v>1.85</v>
      </c>
      <c r="C9" t="s">
        <v>35</v>
      </c>
    </row>
    <row r="10" spans="1:3" x14ac:dyDescent="0.3">
      <c r="A10" t="s">
        <v>21</v>
      </c>
      <c r="B10">
        <v>4</v>
      </c>
      <c r="C10" t="s">
        <v>35</v>
      </c>
    </row>
    <row r="11" spans="1:3" x14ac:dyDescent="0.3">
      <c r="A11" t="s">
        <v>36</v>
      </c>
      <c r="B11">
        <v>0.99</v>
      </c>
      <c r="C11" t="s">
        <v>35</v>
      </c>
    </row>
    <row r="12" spans="1:3" x14ac:dyDescent="0.3">
      <c r="A12" t="s">
        <v>37</v>
      </c>
      <c r="B12">
        <v>0.77</v>
      </c>
      <c r="C12" t="s">
        <v>35</v>
      </c>
    </row>
    <row r="13" spans="1:3" x14ac:dyDescent="0.3">
      <c r="A13" t="s">
        <v>22</v>
      </c>
      <c r="B13">
        <v>46.1</v>
      </c>
      <c r="C13" t="s">
        <v>35</v>
      </c>
    </row>
    <row r="14" spans="1:3" x14ac:dyDescent="0.3">
      <c r="A14" t="s">
        <v>19</v>
      </c>
      <c r="B14">
        <v>3.05</v>
      </c>
      <c r="C14" t="s">
        <v>35</v>
      </c>
    </row>
    <row r="15" spans="1:3" x14ac:dyDescent="0.3">
      <c r="A15" t="s">
        <v>20</v>
      </c>
      <c r="B15">
        <v>23.96</v>
      </c>
      <c r="C15" t="s">
        <v>33</v>
      </c>
    </row>
    <row r="16" spans="1:3" x14ac:dyDescent="0.3">
      <c r="A16" t="s">
        <v>23</v>
      </c>
      <c r="B16">
        <v>36.700000000000003</v>
      </c>
      <c r="C16" t="s">
        <v>33</v>
      </c>
    </row>
    <row r="17" spans="1:3" x14ac:dyDescent="0.3">
      <c r="A17" t="s">
        <v>38</v>
      </c>
      <c r="B17">
        <v>86.75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1.25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19</v>
      </c>
      <c r="C24" t="s">
        <v>12</v>
      </c>
    </row>
    <row r="25" spans="1:3" x14ac:dyDescent="0.3">
      <c r="A25" t="s">
        <v>47</v>
      </c>
      <c r="B25">
        <v>21485.52</v>
      </c>
      <c r="C25" t="s">
        <v>48</v>
      </c>
    </row>
    <row r="26" spans="1:3" x14ac:dyDescent="0.3">
      <c r="A26" t="s">
        <v>51</v>
      </c>
      <c r="B26">
        <v>11064.23</v>
      </c>
      <c r="C26" t="s">
        <v>48</v>
      </c>
    </row>
    <row r="27" spans="1:3" x14ac:dyDescent="0.3">
      <c r="A27" t="s">
        <v>52</v>
      </c>
      <c r="B27">
        <v>9353.6</v>
      </c>
      <c r="C27" t="s">
        <v>48</v>
      </c>
    </row>
    <row r="28" spans="1:3" x14ac:dyDescent="0.3">
      <c r="A28" t="s">
        <v>49</v>
      </c>
      <c r="B28">
        <v>537.09</v>
      </c>
      <c r="C28" t="s">
        <v>48</v>
      </c>
    </row>
    <row r="29" spans="1:3" x14ac:dyDescent="0.3">
      <c r="A29" t="s">
        <v>50</v>
      </c>
      <c r="B29">
        <v>530.6</v>
      </c>
      <c r="C29" t="s">
        <v>48</v>
      </c>
    </row>
    <row r="30" spans="1:3" x14ac:dyDescent="0.3">
      <c r="A30" t="s">
        <v>53</v>
      </c>
      <c r="B30">
        <v>2435</v>
      </c>
      <c r="C30" t="s">
        <v>46</v>
      </c>
    </row>
    <row r="31" spans="1:3" x14ac:dyDescent="0.3">
      <c r="A31" t="s">
        <v>54</v>
      </c>
      <c r="B31">
        <v>13</v>
      </c>
      <c r="C31" t="s">
        <v>12</v>
      </c>
    </row>
    <row r="32" spans="1:3" x14ac:dyDescent="0.3">
      <c r="A32" t="s">
        <v>55</v>
      </c>
      <c r="B32">
        <v>1702</v>
      </c>
      <c r="C32" t="s">
        <v>46</v>
      </c>
    </row>
    <row r="33" spans="1:3" x14ac:dyDescent="0.3">
      <c r="A33" t="s">
        <v>56</v>
      </c>
      <c r="B33">
        <v>29.99</v>
      </c>
      <c r="C33" t="s">
        <v>46</v>
      </c>
    </row>
    <row r="34" spans="1:3" x14ac:dyDescent="0.3">
      <c r="A34" t="s">
        <v>57</v>
      </c>
      <c r="B34">
        <v>4672.1899999999996</v>
      </c>
      <c r="C34" t="s">
        <v>58</v>
      </c>
    </row>
    <row r="35" spans="1:3" x14ac:dyDescent="0.3">
      <c r="A35" t="s">
        <v>59</v>
      </c>
      <c r="B35">
        <v>8272.1</v>
      </c>
      <c r="C35" t="s">
        <v>58</v>
      </c>
    </row>
    <row r="36" spans="1:3" x14ac:dyDescent="0.3">
      <c r="A36" t="s">
        <v>60</v>
      </c>
      <c r="B36">
        <v>3.46</v>
      </c>
      <c r="C36" t="s">
        <v>33</v>
      </c>
    </row>
    <row r="37" spans="1:3" x14ac:dyDescent="0.3">
      <c r="A37" t="s">
        <v>61</v>
      </c>
      <c r="B37">
        <v>115.82</v>
      </c>
      <c r="C37" t="s">
        <v>46</v>
      </c>
    </row>
    <row r="38" spans="1:3" x14ac:dyDescent="0.3">
      <c r="A38" t="s">
        <v>62</v>
      </c>
      <c r="B38">
        <v>364.89</v>
      </c>
      <c r="C38" t="s">
        <v>46</v>
      </c>
    </row>
    <row r="39" spans="1:3" x14ac:dyDescent="0.3">
      <c r="A39" t="s">
        <v>63</v>
      </c>
      <c r="B39">
        <v>7259.07</v>
      </c>
      <c r="C39" t="s">
        <v>58</v>
      </c>
    </row>
    <row r="40" spans="1:3" x14ac:dyDescent="0.3">
      <c r="A40" t="s">
        <v>64</v>
      </c>
      <c r="B40">
        <v>11.18</v>
      </c>
      <c r="C40" t="s">
        <v>46</v>
      </c>
    </row>
    <row r="41" spans="1:3" x14ac:dyDescent="0.3">
      <c r="A41" t="s">
        <v>65</v>
      </c>
      <c r="B41">
        <v>87.24</v>
      </c>
      <c r="C41" t="s">
        <v>46</v>
      </c>
    </row>
    <row r="42" spans="1:3" x14ac:dyDescent="0.3">
      <c r="A42" t="s">
        <v>66</v>
      </c>
      <c r="B42">
        <v>394.55</v>
      </c>
      <c r="C42" t="s">
        <v>46</v>
      </c>
    </row>
    <row r="43" spans="1:3" x14ac:dyDescent="0.3">
      <c r="A43" t="s">
        <v>67</v>
      </c>
      <c r="B43">
        <v>266.57</v>
      </c>
      <c r="C43" t="s">
        <v>46</v>
      </c>
    </row>
    <row r="44" spans="1:3" x14ac:dyDescent="0.3">
      <c r="A44" t="s">
        <v>68</v>
      </c>
      <c r="B44">
        <v>320.75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18</v>
      </c>
      <c r="C46" t="s">
        <v>12</v>
      </c>
    </row>
    <row r="47" spans="1:3" x14ac:dyDescent="0.3">
      <c r="A47" t="s">
        <v>72</v>
      </c>
      <c r="B47">
        <v>13</v>
      </c>
      <c r="C47" t="s">
        <v>12</v>
      </c>
    </row>
    <row r="48" spans="1:3" x14ac:dyDescent="0.3">
      <c r="A48" t="s">
        <v>76</v>
      </c>
      <c r="B48">
        <v>3421</v>
      </c>
      <c r="C48" t="s">
        <v>46</v>
      </c>
    </row>
    <row r="49" spans="1:3" x14ac:dyDescent="0.3">
      <c r="A49" t="s">
        <v>71</v>
      </c>
      <c r="B49">
        <v>1702</v>
      </c>
      <c r="C49" t="s">
        <v>46</v>
      </c>
    </row>
    <row r="50" spans="1:3" x14ac:dyDescent="0.3">
      <c r="A50" t="s">
        <v>73</v>
      </c>
      <c r="B50">
        <v>624.65</v>
      </c>
      <c r="C50" t="s">
        <v>46</v>
      </c>
    </row>
    <row r="51" spans="1:3" x14ac:dyDescent="0.3">
      <c r="A51" t="s">
        <v>74</v>
      </c>
      <c r="B51">
        <v>364.89</v>
      </c>
      <c r="C51" t="s">
        <v>46</v>
      </c>
    </row>
    <row r="52" spans="1:3" x14ac:dyDescent="0.3">
      <c r="A52" t="s">
        <v>75</v>
      </c>
      <c r="B52">
        <v>259.77</v>
      </c>
      <c r="C52" t="s">
        <v>46</v>
      </c>
    </row>
    <row r="53" spans="1:3" x14ac:dyDescent="0.3">
      <c r="A53" t="s">
        <v>77</v>
      </c>
      <c r="B53">
        <v>29.99</v>
      </c>
      <c r="C53" t="s">
        <v>46</v>
      </c>
    </row>
    <row r="54" spans="1:3" x14ac:dyDescent="0.3">
      <c r="A54" t="s">
        <v>79</v>
      </c>
      <c r="B54">
        <v>21485.52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0.11</v>
      </c>
      <c r="C58" t="s">
        <v>5</v>
      </c>
    </row>
    <row r="59" spans="1:3" x14ac:dyDescent="0.3">
      <c r="A59" t="s">
        <v>18</v>
      </c>
      <c r="B59">
        <v>0.11</v>
      </c>
      <c r="C59" t="s">
        <v>5</v>
      </c>
    </row>
    <row r="60" spans="1:3" x14ac:dyDescent="0.3">
      <c r="A60" t="s">
        <v>31</v>
      </c>
      <c r="B60" s="2">
        <v>-6.3000000000000003E-4</v>
      </c>
      <c r="C60" t="s">
        <v>5</v>
      </c>
    </row>
    <row r="61" spans="1:3" x14ac:dyDescent="0.3">
      <c r="A61" t="s">
        <v>32</v>
      </c>
      <c r="B61">
        <v>20.329999999999998</v>
      </c>
      <c r="C61" t="s">
        <v>33</v>
      </c>
    </row>
    <row r="62" spans="1:3" x14ac:dyDescent="0.3">
      <c r="A62" t="s">
        <v>34</v>
      </c>
      <c r="B62">
        <v>63.03</v>
      </c>
      <c r="C62" t="s">
        <v>33</v>
      </c>
    </row>
    <row r="63" spans="1:3" x14ac:dyDescent="0.3">
      <c r="A63" t="s">
        <v>21</v>
      </c>
      <c r="B63">
        <v>0.21</v>
      </c>
      <c r="C63" t="s">
        <v>35</v>
      </c>
    </row>
    <row r="64" spans="1:3" x14ac:dyDescent="0.3">
      <c r="A64" t="s">
        <v>36</v>
      </c>
      <c r="B64">
        <v>15.57</v>
      </c>
      <c r="C64" t="s">
        <v>33</v>
      </c>
    </row>
    <row r="65" spans="1:3" x14ac:dyDescent="0.3">
      <c r="A65" t="s">
        <v>37</v>
      </c>
      <c r="B65">
        <v>12.73</v>
      </c>
      <c r="C65" t="s">
        <v>33</v>
      </c>
    </row>
    <row r="66" spans="1:3" x14ac:dyDescent="0.3">
      <c r="A66" t="s">
        <v>22</v>
      </c>
      <c r="B66">
        <v>0.22</v>
      </c>
      <c r="C66" t="s">
        <v>35</v>
      </c>
    </row>
    <row r="67" spans="1:3" x14ac:dyDescent="0.3">
      <c r="A67" t="s">
        <v>19</v>
      </c>
      <c r="B67">
        <v>63.89</v>
      </c>
      <c r="C67" t="s">
        <v>33</v>
      </c>
    </row>
    <row r="68" spans="1:3" x14ac:dyDescent="0.3">
      <c r="A68" t="s">
        <v>20</v>
      </c>
      <c r="B68">
        <v>3.15</v>
      </c>
      <c r="C68" t="s">
        <v>33</v>
      </c>
    </row>
    <row r="69" spans="1:3" x14ac:dyDescent="0.3">
      <c r="A69" t="s">
        <v>23</v>
      </c>
      <c r="B69">
        <v>1.5</v>
      </c>
      <c r="C69" t="s">
        <v>33</v>
      </c>
    </row>
    <row r="70" spans="1:3" x14ac:dyDescent="0.3">
      <c r="A70" t="s">
        <v>38</v>
      </c>
      <c r="B70">
        <v>4.46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0.11</v>
      </c>
      <c r="C72" t="s">
        <v>5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9379-994C-4DF2-8427-C6291EE1F5D3}">
  <sheetPr codeName="Sheet19"/>
  <dimension ref="A1:F72"/>
  <sheetViews>
    <sheetView workbookViewId="0">
      <selection activeCell="G22" sqref="G22"/>
    </sheetView>
  </sheetViews>
  <sheetFormatPr defaultRowHeight="14.4" x14ac:dyDescent="0.3"/>
  <sheetData>
    <row r="1" spans="1:6" x14ac:dyDescent="0.3">
      <c r="A1" t="s">
        <v>324</v>
      </c>
    </row>
    <row r="2" spans="1:6" x14ac:dyDescent="0.3">
      <c r="A2" t="s">
        <v>28</v>
      </c>
    </row>
    <row r="3" spans="1:6" x14ac:dyDescent="0.3">
      <c r="A3" t="s">
        <v>29</v>
      </c>
    </row>
    <row r="4" spans="1:6" x14ac:dyDescent="0.3">
      <c r="A4" t="s">
        <v>28</v>
      </c>
    </row>
    <row r="5" spans="1:6" x14ac:dyDescent="0.3">
      <c r="A5" t="s">
        <v>30</v>
      </c>
      <c r="B5">
        <v>1.26</v>
      </c>
      <c r="C5" t="s">
        <v>5</v>
      </c>
    </row>
    <row r="6" spans="1:6" x14ac:dyDescent="0.3">
      <c r="A6" t="s">
        <v>18</v>
      </c>
      <c r="B6">
        <v>1.27</v>
      </c>
      <c r="C6" t="s">
        <v>5</v>
      </c>
    </row>
    <row r="7" spans="1:6" x14ac:dyDescent="0.3">
      <c r="A7" t="s">
        <v>31</v>
      </c>
      <c r="B7" s="2">
        <v>-8.83E-4</v>
      </c>
      <c r="C7" t="s">
        <v>5</v>
      </c>
      <c r="F7" t="e">
        <f>#REF!*'Ammonium nitrate_GREET'!B10*10</f>
        <v>#REF!</v>
      </c>
    </row>
    <row r="8" spans="1:6" x14ac:dyDescent="0.3">
      <c r="A8" t="s">
        <v>32</v>
      </c>
      <c r="B8">
        <v>2.35</v>
      </c>
      <c r="C8" t="s">
        <v>35</v>
      </c>
    </row>
    <row r="9" spans="1:6" x14ac:dyDescent="0.3">
      <c r="A9" t="s">
        <v>34</v>
      </c>
      <c r="B9">
        <v>2.6</v>
      </c>
      <c r="C9" t="s">
        <v>35</v>
      </c>
    </row>
    <row r="10" spans="1:6" x14ac:dyDescent="0.3">
      <c r="A10" t="s">
        <v>21</v>
      </c>
      <c r="B10">
        <v>3.44</v>
      </c>
      <c r="C10" t="s">
        <v>35</v>
      </c>
    </row>
    <row r="11" spans="1:6" x14ac:dyDescent="0.3">
      <c r="A11" t="s">
        <v>36</v>
      </c>
      <c r="B11">
        <v>1.33</v>
      </c>
      <c r="C11" t="s">
        <v>35</v>
      </c>
    </row>
    <row r="12" spans="1:6" x14ac:dyDescent="0.3">
      <c r="A12" t="s">
        <v>37</v>
      </c>
      <c r="B12">
        <v>1.08</v>
      </c>
      <c r="C12" t="s">
        <v>35</v>
      </c>
    </row>
    <row r="13" spans="1:6" x14ac:dyDescent="0.3">
      <c r="A13" t="s">
        <v>22</v>
      </c>
      <c r="B13">
        <v>1.24</v>
      </c>
      <c r="C13" t="s">
        <v>35</v>
      </c>
    </row>
    <row r="14" spans="1:6" x14ac:dyDescent="0.3">
      <c r="A14" t="s">
        <v>19</v>
      </c>
      <c r="B14">
        <v>3.8</v>
      </c>
      <c r="C14" t="s">
        <v>35</v>
      </c>
    </row>
    <row r="15" spans="1:6" x14ac:dyDescent="0.3">
      <c r="A15" t="s">
        <v>20</v>
      </c>
      <c r="B15">
        <v>3.77</v>
      </c>
      <c r="C15" t="s">
        <v>35</v>
      </c>
    </row>
    <row r="16" spans="1:6" x14ac:dyDescent="0.3">
      <c r="A16" t="s">
        <v>23</v>
      </c>
      <c r="B16">
        <v>22.74</v>
      </c>
      <c r="C16" t="s">
        <v>33</v>
      </c>
    </row>
    <row r="17" spans="1:3" x14ac:dyDescent="0.3">
      <c r="A17" t="s">
        <v>38</v>
      </c>
      <c r="B17">
        <v>63.74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2.39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22</v>
      </c>
      <c r="C24" t="s">
        <v>12</v>
      </c>
    </row>
    <row r="25" spans="1:3" x14ac:dyDescent="0.3">
      <c r="A25" t="s">
        <v>47</v>
      </c>
      <c r="B25">
        <v>5891.21</v>
      </c>
      <c r="C25" t="s">
        <v>48</v>
      </c>
    </row>
    <row r="26" spans="1:3" x14ac:dyDescent="0.3">
      <c r="A26" t="s">
        <v>52</v>
      </c>
      <c r="B26">
        <v>5368.54</v>
      </c>
      <c r="C26" t="s">
        <v>48</v>
      </c>
    </row>
    <row r="27" spans="1:3" x14ac:dyDescent="0.3">
      <c r="A27" t="s">
        <v>51</v>
      </c>
      <c r="B27">
        <v>180.01</v>
      </c>
      <c r="C27" t="s">
        <v>48</v>
      </c>
    </row>
    <row r="28" spans="1:3" x14ac:dyDescent="0.3">
      <c r="A28" t="s">
        <v>49</v>
      </c>
      <c r="B28">
        <v>172.34</v>
      </c>
      <c r="C28" t="s">
        <v>48</v>
      </c>
    </row>
    <row r="29" spans="1:3" x14ac:dyDescent="0.3">
      <c r="A29" t="s">
        <v>50</v>
      </c>
      <c r="B29">
        <v>170.32</v>
      </c>
      <c r="C29" t="s">
        <v>48</v>
      </c>
    </row>
    <row r="30" spans="1:3" x14ac:dyDescent="0.3">
      <c r="A30" t="s">
        <v>53</v>
      </c>
      <c r="B30">
        <v>1394</v>
      </c>
      <c r="C30" t="s">
        <v>46</v>
      </c>
    </row>
    <row r="31" spans="1:3" x14ac:dyDescent="0.3">
      <c r="A31" t="s">
        <v>54</v>
      </c>
      <c r="B31">
        <v>19</v>
      </c>
      <c r="C31" t="s">
        <v>12</v>
      </c>
    </row>
    <row r="32" spans="1:3" x14ac:dyDescent="0.3">
      <c r="A32" t="s">
        <v>55</v>
      </c>
      <c r="B32">
        <v>546.21</v>
      </c>
      <c r="C32" t="s">
        <v>46</v>
      </c>
    </row>
    <row r="33" spans="1:3" x14ac:dyDescent="0.3">
      <c r="A33" t="s">
        <v>56</v>
      </c>
      <c r="B33">
        <v>9630.9</v>
      </c>
      <c r="C33" t="s">
        <v>58</v>
      </c>
    </row>
    <row r="34" spans="1:3" x14ac:dyDescent="0.3">
      <c r="A34" t="s">
        <v>57</v>
      </c>
      <c r="B34">
        <v>2675.05</v>
      </c>
      <c r="C34" t="s">
        <v>58</v>
      </c>
    </row>
    <row r="35" spans="1:3" x14ac:dyDescent="0.3">
      <c r="A35" t="s">
        <v>59</v>
      </c>
      <c r="B35">
        <v>2656.29</v>
      </c>
      <c r="C35" t="s">
        <v>58</v>
      </c>
    </row>
    <row r="36" spans="1:3" x14ac:dyDescent="0.3">
      <c r="A36" t="s">
        <v>60</v>
      </c>
      <c r="B36">
        <v>1.1100000000000001</v>
      </c>
      <c r="C36" t="s">
        <v>33</v>
      </c>
    </row>
    <row r="37" spans="1:3" x14ac:dyDescent="0.3">
      <c r="A37" t="s">
        <v>61</v>
      </c>
      <c r="B37">
        <v>37.159999999999997</v>
      </c>
      <c r="C37" t="s">
        <v>46</v>
      </c>
    </row>
    <row r="38" spans="1:3" x14ac:dyDescent="0.3">
      <c r="A38" t="s">
        <v>62</v>
      </c>
      <c r="B38">
        <v>117.17</v>
      </c>
      <c r="C38" t="s">
        <v>46</v>
      </c>
    </row>
    <row r="39" spans="1:3" x14ac:dyDescent="0.3">
      <c r="A39" t="s">
        <v>63</v>
      </c>
      <c r="B39">
        <v>2330.9899999999998</v>
      </c>
      <c r="C39" t="s">
        <v>58</v>
      </c>
    </row>
    <row r="40" spans="1:3" x14ac:dyDescent="0.3">
      <c r="A40" t="s">
        <v>64</v>
      </c>
      <c r="B40">
        <v>3588.86</v>
      </c>
      <c r="C40" t="s">
        <v>58</v>
      </c>
    </row>
    <row r="41" spans="1:3" x14ac:dyDescent="0.3">
      <c r="A41" t="s">
        <v>65</v>
      </c>
      <c r="B41">
        <v>28.02</v>
      </c>
      <c r="C41" t="s">
        <v>46</v>
      </c>
    </row>
    <row r="42" spans="1:3" x14ac:dyDescent="0.3">
      <c r="A42" t="s">
        <v>66</v>
      </c>
      <c r="B42">
        <v>225.9</v>
      </c>
      <c r="C42" t="s">
        <v>46</v>
      </c>
    </row>
    <row r="43" spans="1:3" x14ac:dyDescent="0.3">
      <c r="A43" t="s">
        <v>67</v>
      </c>
      <c r="B43">
        <v>152.63</v>
      </c>
      <c r="C43" t="s">
        <v>46</v>
      </c>
    </row>
    <row r="44" spans="1:3" x14ac:dyDescent="0.3">
      <c r="A44" t="s">
        <v>68</v>
      </c>
      <c r="B44">
        <v>183.64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21</v>
      </c>
      <c r="C46" t="s">
        <v>12</v>
      </c>
    </row>
    <row r="47" spans="1:3" x14ac:dyDescent="0.3">
      <c r="A47" t="s">
        <v>72</v>
      </c>
      <c r="B47">
        <v>19</v>
      </c>
      <c r="C47" t="s">
        <v>12</v>
      </c>
    </row>
    <row r="48" spans="1:3" x14ac:dyDescent="0.3">
      <c r="A48" t="s">
        <v>76</v>
      </c>
      <c r="B48">
        <v>1959</v>
      </c>
      <c r="C48" t="s">
        <v>46</v>
      </c>
    </row>
    <row r="49" spans="1:3" x14ac:dyDescent="0.3">
      <c r="A49" t="s">
        <v>71</v>
      </c>
      <c r="B49">
        <v>546.21</v>
      </c>
      <c r="C49" t="s">
        <v>46</v>
      </c>
    </row>
    <row r="50" spans="1:3" x14ac:dyDescent="0.3">
      <c r="A50" t="s">
        <v>73</v>
      </c>
      <c r="B50">
        <v>200.56</v>
      </c>
      <c r="C50" t="s">
        <v>46</v>
      </c>
    </row>
    <row r="51" spans="1:3" x14ac:dyDescent="0.3">
      <c r="A51" t="s">
        <v>74</v>
      </c>
      <c r="B51">
        <v>117.17</v>
      </c>
      <c r="C51" t="s">
        <v>46</v>
      </c>
    </row>
    <row r="52" spans="1:3" x14ac:dyDescent="0.3">
      <c r="A52" t="s">
        <v>75</v>
      </c>
      <c r="B52">
        <v>83.39</v>
      </c>
      <c r="C52" t="s">
        <v>46</v>
      </c>
    </row>
    <row r="53" spans="1:3" x14ac:dyDescent="0.3">
      <c r="A53" t="s">
        <v>77</v>
      </c>
      <c r="B53">
        <v>9630.9</v>
      </c>
      <c r="C53" t="s">
        <v>58</v>
      </c>
    </row>
    <row r="54" spans="1:3" x14ac:dyDescent="0.3">
      <c r="A54" t="s">
        <v>79</v>
      </c>
      <c r="B54">
        <v>5891.21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43.62</v>
      </c>
      <c r="C58" t="s">
        <v>35</v>
      </c>
    </row>
    <row r="59" spans="1:3" x14ac:dyDescent="0.3">
      <c r="A59" t="s">
        <v>18</v>
      </c>
      <c r="B59">
        <v>43.83</v>
      </c>
      <c r="C59" t="s">
        <v>35</v>
      </c>
    </row>
    <row r="60" spans="1:3" x14ac:dyDescent="0.3">
      <c r="A60" t="s">
        <v>31</v>
      </c>
      <c r="B60" s="2">
        <v>-2.02E-4</v>
      </c>
      <c r="C60" t="s">
        <v>5</v>
      </c>
    </row>
    <row r="61" spans="1:3" x14ac:dyDescent="0.3">
      <c r="A61" t="s">
        <v>32</v>
      </c>
      <c r="B61">
        <v>17.05</v>
      </c>
      <c r="C61" t="s">
        <v>33</v>
      </c>
    </row>
    <row r="62" spans="1:3" x14ac:dyDescent="0.3">
      <c r="A62" t="s">
        <v>34</v>
      </c>
      <c r="B62">
        <v>59.25</v>
      </c>
      <c r="C62" t="s">
        <v>33</v>
      </c>
    </row>
    <row r="63" spans="1:3" x14ac:dyDescent="0.3">
      <c r="A63" t="s">
        <v>21</v>
      </c>
      <c r="B63">
        <v>0.16</v>
      </c>
      <c r="C63" t="s">
        <v>35</v>
      </c>
    </row>
    <row r="64" spans="1:3" x14ac:dyDescent="0.3">
      <c r="A64" t="s">
        <v>36</v>
      </c>
      <c r="B64">
        <v>9.25</v>
      </c>
      <c r="C64" t="s">
        <v>33</v>
      </c>
    </row>
    <row r="65" spans="1:3" x14ac:dyDescent="0.3">
      <c r="A65" t="s">
        <v>37</v>
      </c>
      <c r="B65">
        <v>7.91</v>
      </c>
      <c r="C65" t="s">
        <v>33</v>
      </c>
    </row>
    <row r="66" spans="1:3" x14ac:dyDescent="0.3">
      <c r="A66" t="s">
        <v>22</v>
      </c>
      <c r="B66">
        <v>0.1</v>
      </c>
      <c r="C66" t="s">
        <v>35</v>
      </c>
    </row>
    <row r="67" spans="1:3" x14ac:dyDescent="0.3">
      <c r="A67" t="s">
        <v>19</v>
      </c>
      <c r="B67">
        <v>67.05</v>
      </c>
      <c r="C67" t="s">
        <v>33</v>
      </c>
    </row>
    <row r="68" spans="1:3" x14ac:dyDescent="0.3">
      <c r="A68" t="s">
        <v>20</v>
      </c>
      <c r="B68">
        <v>3.21</v>
      </c>
      <c r="C68" t="s">
        <v>33</v>
      </c>
    </row>
    <row r="69" spans="1:3" x14ac:dyDescent="0.3">
      <c r="A69" t="s">
        <v>23</v>
      </c>
      <c r="B69">
        <v>1.03</v>
      </c>
      <c r="C69" t="s">
        <v>33</v>
      </c>
    </row>
    <row r="70" spans="1:3" x14ac:dyDescent="0.3">
      <c r="A70" t="s">
        <v>38</v>
      </c>
      <c r="B70">
        <v>2.98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46.63</v>
      </c>
      <c r="C72" t="s">
        <v>35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D2E-A51C-4760-A018-02BE70955448}">
  <sheetPr codeName="Sheet18"/>
  <dimension ref="A1:C72"/>
  <sheetViews>
    <sheetView workbookViewId="0">
      <selection activeCell="G22" sqref="G22"/>
    </sheetView>
  </sheetViews>
  <sheetFormatPr defaultRowHeight="14.4" x14ac:dyDescent="0.3"/>
  <cols>
    <col min="2" max="2" width="12" bestFit="1" customWidth="1"/>
  </cols>
  <sheetData>
    <row r="1" spans="1:3" x14ac:dyDescent="0.3">
      <c r="A1" t="s">
        <v>323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1.08</v>
      </c>
      <c r="C5" t="s">
        <v>5</v>
      </c>
    </row>
    <row r="6" spans="1:3" x14ac:dyDescent="0.3">
      <c r="A6" t="s">
        <v>18</v>
      </c>
      <c r="B6">
        <v>1.08</v>
      </c>
      <c r="C6" t="s">
        <v>5</v>
      </c>
    </row>
    <row r="7" spans="1:3" x14ac:dyDescent="0.3">
      <c r="A7" t="s">
        <v>31</v>
      </c>
      <c r="B7" t="e">
        <f>'Potatoes at farm_inputs_Simapro'!E21*#REF!+'Potatoes at farm_inputs_Simapro'!B15*'Ammonia production_GREET'!B10*10^-3+'Potatoes at farm_inputs_Simapro'!B16*Urea_GREET!B10*10^-3+'Ammonium nitrate_GREET'!B15*10^-3+('Potatoes at farm_inputs_Simapro'!B18+'Potatoes at farm_inputs_Simapro'!B19)*'Diammonium phosphate_GREET'!B15*10^-6+'Potatoes at farm_inputs_Simapro'!B20*'Potassium chloride_GREET'!B15*10^-6+'Potatoes at farm_inputs_Simapro'!B21*Plastics_mix_GREET!B15*10^-3</f>
        <v>#REF!</v>
      </c>
      <c r="C7" t="s">
        <v>5</v>
      </c>
    </row>
    <row r="8" spans="1:3" x14ac:dyDescent="0.3">
      <c r="A8" t="s">
        <v>32</v>
      </c>
      <c r="B8">
        <v>3.02</v>
      </c>
      <c r="C8" t="s">
        <v>35</v>
      </c>
    </row>
    <row r="9" spans="1:3" x14ac:dyDescent="0.3">
      <c r="A9" t="s">
        <v>34</v>
      </c>
      <c r="B9">
        <v>3.43</v>
      </c>
      <c r="C9" t="s">
        <v>35</v>
      </c>
    </row>
    <row r="10" spans="1:3" x14ac:dyDescent="0.3">
      <c r="A10" t="s">
        <v>21</v>
      </c>
      <c r="B10">
        <v>2.82</v>
      </c>
      <c r="C10" t="s">
        <v>35</v>
      </c>
    </row>
    <row r="11" spans="1:3" x14ac:dyDescent="0.3">
      <c r="A11" t="s">
        <v>36</v>
      </c>
      <c r="B11">
        <v>0.27</v>
      </c>
      <c r="C11" t="s">
        <v>35</v>
      </c>
    </row>
    <row r="12" spans="1:3" x14ac:dyDescent="0.3">
      <c r="A12" t="s">
        <v>37</v>
      </c>
      <c r="B12">
        <v>0.23</v>
      </c>
      <c r="C12" t="s">
        <v>35</v>
      </c>
    </row>
    <row r="13" spans="1:3" x14ac:dyDescent="0.3">
      <c r="A13" t="s">
        <v>22</v>
      </c>
      <c r="B13">
        <v>1.2</v>
      </c>
      <c r="C13" t="s">
        <v>35</v>
      </c>
    </row>
    <row r="14" spans="1:3" x14ac:dyDescent="0.3">
      <c r="A14" t="s">
        <v>19</v>
      </c>
      <c r="B14">
        <v>5.58</v>
      </c>
      <c r="C14" t="s">
        <v>35</v>
      </c>
    </row>
    <row r="15" spans="1:3" x14ac:dyDescent="0.3">
      <c r="A15" t="s">
        <v>20</v>
      </c>
      <c r="B15">
        <v>39.36</v>
      </c>
      <c r="C15" t="s">
        <v>33</v>
      </c>
    </row>
    <row r="16" spans="1:3" x14ac:dyDescent="0.3">
      <c r="A16" t="s">
        <v>23</v>
      </c>
      <c r="B16">
        <v>22.83</v>
      </c>
      <c r="C16" t="s">
        <v>33</v>
      </c>
    </row>
    <row r="17" spans="1:3" x14ac:dyDescent="0.3">
      <c r="A17" t="s">
        <v>38</v>
      </c>
      <c r="B17">
        <v>59.33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1.27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31</v>
      </c>
      <c r="C24" t="s">
        <v>12</v>
      </c>
    </row>
    <row r="25" spans="1:3" x14ac:dyDescent="0.3">
      <c r="A25" t="s">
        <v>47</v>
      </c>
      <c r="B25">
        <v>4863.38</v>
      </c>
      <c r="C25" t="s">
        <v>48</v>
      </c>
    </row>
    <row r="26" spans="1:3" x14ac:dyDescent="0.3">
      <c r="A26" t="s">
        <v>52</v>
      </c>
      <c r="B26">
        <v>4114.34</v>
      </c>
      <c r="C26" t="s">
        <v>48</v>
      </c>
    </row>
    <row r="27" spans="1:3" x14ac:dyDescent="0.3">
      <c r="A27" t="s">
        <v>49</v>
      </c>
      <c r="B27">
        <v>276.98</v>
      </c>
      <c r="C27" t="s">
        <v>48</v>
      </c>
    </row>
    <row r="28" spans="1:3" x14ac:dyDescent="0.3">
      <c r="A28" t="s">
        <v>50</v>
      </c>
      <c r="B28">
        <v>273.63</v>
      </c>
      <c r="C28" t="s">
        <v>48</v>
      </c>
    </row>
    <row r="29" spans="1:3" x14ac:dyDescent="0.3">
      <c r="A29" t="s">
        <v>51</v>
      </c>
      <c r="B29">
        <v>198.44</v>
      </c>
      <c r="C29" t="s">
        <v>48</v>
      </c>
    </row>
    <row r="30" spans="1:3" x14ac:dyDescent="0.3">
      <c r="A30" t="s">
        <v>53</v>
      </c>
      <c r="B30">
        <v>1184</v>
      </c>
      <c r="C30" t="s">
        <v>46</v>
      </c>
    </row>
    <row r="31" spans="1:3" x14ac:dyDescent="0.3">
      <c r="A31" t="s">
        <v>54</v>
      </c>
      <c r="B31">
        <v>29</v>
      </c>
      <c r="C31" t="s">
        <v>12</v>
      </c>
    </row>
    <row r="32" spans="1:3" x14ac:dyDescent="0.3">
      <c r="A32" t="s">
        <v>55</v>
      </c>
      <c r="B32">
        <v>877.81</v>
      </c>
      <c r="C32" t="s">
        <v>46</v>
      </c>
    </row>
    <row r="33" spans="1:3" x14ac:dyDescent="0.3">
      <c r="A33" t="s">
        <v>56</v>
      </c>
      <c r="B33">
        <v>15.47</v>
      </c>
      <c r="C33" t="s">
        <v>46</v>
      </c>
    </row>
    <row r="34" spans="1:3" x14ac:dyDescent="0.3">
      <c r="A34" t="s">
        <v>57</v>
      </c>
      <c r="B34">
        <v>2271.27</v>
      </c>
      <c r="C34" t="s">
        <v>58</v>
      </c>
    </row>
    <row r="35" spans="1:3" x14ac:dyDescent="0.3">
      <c r="A35" t="s">
        <v>59</v>
      </c>
      <c r="B35">
        <v>4265.7700000000004</v>
      </c>
      <c r="C35" t="s">
        <v>58</v>
      </c>
    </row>
    <row r="36" spans="1:3" x14ac:dyDescent="0.3">
      <c r="A36" t="s">
        <v>60</v>
      </c>
      <c r="B36">
        <v>1.78</v>
      </c>
      <c r="C36" t="s">
        <v>33</v>
      </c>
    </row>
    <row r="37" spans="1:3" x14ac:dyDescent="0.3">
      <c r="A37" t="s">
        <v>61</v>
      </c>
      <c r="B37">
        <v>59.73</v>
      </c>
      <c r="C37" t="s">
        <v>46</v>
      </c>
    </row>
    <row r="38" spans="1:3" x14ac:dyDescent="0.3">
      <c r="A38" t="s">
        <v>62</v>
      </c>
      <c r="B38">
        <v>188.17</v>
      </c>
      <c r="C38" t="s">
        <v>46</v>
      </c>
    </row>
    <row r="39" spans="1:3" x14ac:dyDescent="0.3">
      <c r="A39" t="s">
        <v>63</v>
      </c>
      <c r="B39">
        <v>3743.37</v>
      </c>
      <c r="C39" t="s">
        <v>58</v>
      </c>
    </row>
    <row r="40" spans="1:3" x14ac:dyDescent="0.3">
      <c r="A40" t="s">
        <v>64</v>
      </c>
      <c r="B40">
        <v>5763.41</v>
      </c>
      <c r="C40" t="s">
        <v>58</v>
      </c>
    </row>
    <row r="41" spans="1:3" x14ac:dyDescent="0.3">
      <c r="A41" t="s">
        <v>65</v>
      </c>
      <c r="B41">
        <v>44.99</v>
      </c>
      <c r="C41" t="s">
        <v>46</v>
      </c>
    </row>
    <row r="42" spans="1:3" x14ac:dyDescent="0.3">
      <c r="A42" t="s">
        <v>66</v>
      </c>
      <c r="B42">
        <v>191.8</v>
      </c>
      <c r="C42" t="s">
        <v>46</v>
      </c>
    </row>
    <row r="43" spans="1:3" x14ac:dyDescent="0.3">
      <c r="A43" t="s">
        <v>67</v>
      </c>
      <c r="B43">
        <v>129.59</v>
      </c>
      <c r="C43" t="s">
        <v>46</v>
      </c>
    </row>
    <row r="44" spans="1:3" x14ac:dyDescent="0.3">
      <c r="A44" t="s">
        <v>68</v>
      </c>
      <c r="B44">
        <v>155.91999999999999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31</v>
      </c>
      <c r="C46" t="s">
        <v>12</v>
      </c>
    </row>
    <row r="47" spans="1:3" x14ac:dyDescent="0.3">
      <c r="A47" t="s">
        <v>72</v>
      </c>
      <c r="B47">
        <v>29</v>
      </c>
      <c r="C47" t="s">
        <v>12</v>
      </c>
    </row>
    <row r="48" spans="1:3" x14ac:dyDescent="0.3">
      <c r="A48" t="s">
        <v>76</v>
      </c>
      <c r="B48">
        <v>1663</v>
      </c>
      <c r="C48" t="s">
        <v>46</v>
      </c>
    </row>
    <row r="49" spans="1:3" x14ac:dyDescent="0.3">
      <c r="A49" t="s">
        <v>71</v>
      </c>
      <c r="B49">
        <v>877.81</v>
      </c>
      <c r="C49" t="s">
        <v>46</v>
      </c>
    </row>
    <row r="50" spans="1:3" x14ac:dyDescent="0.3">
      <c r="A50" t="s">
        <v>73</v>
      </c>
      <c r="B50">
        <v>322.13</v>
      </c>
      <c r="C50" t="s">
        <v>46</v>
      </c>
    </row>
    <row r="51" spans="1:3" x14ac:dyDescent="0.3">
      <c r="A51" t="s">
        <v>74</v>
      </c>
      <c r="B51">
        <v>188.17</v>
      </c>
      <c r="C51" t="s">
        <v>46</v>
      </c>
    </row>
    <row r="52" spans="1:3" x14ac:dyDescent="0.3">
      <c r="A52" t="s">
        <v>75</v>
      </c>
      <c r="B52">
        <v>133.96</v>
      </c>
      <c r="C52" t="s">
        <v>46</v>
      </c>
    </row>
    <row r="53" spans="1:3" x14ac:dyDescent="0.3">
      <c r="A53" t="s">
        <v>77</v>
      </c>
      <c r="B53">
        <v>15.47</v>
      </c>
      <c r="C53" t="s">
        <v>46</v>
      </c>
    </row>
    <row r="54" spans="1:3" x14ac:dyDescent="0.3">
      <c r="A54" t="s">
        <v>79</v>
      </c>
      <c r="B54">
        <v>4863.38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59.31</v>
      </c>
      <c r="C58" t="s">
        <v>35</v>
      </c>
    </row>
    <row r="59" spans="1:3" x14ac:dyDescent="0.3">
      <c r="A59" t="s">
        <v>18</v>
      </c>
      <c r="B59">
        <v>59.64</v>
      </c>
      <c r="C59" t="s">
        <v>35</v>
      </c>
    </row>
    <row r="60" spans="1:3" x14ac:dyDescent="0.3">
      <c r="A60" t="s">
        <v>31</v>
      </c>
      <c r="B60" s="2">
        <v>-3.2499999999999999E-4</v>
      </c>
      <c r="C60" t="s">
        <v>5</v>
      </c>
    </row>
    <row r="61" spans="1:3" x14ac:dyDescent="0.3">
      <c r="A61" t="s">
        <v>32</v>
      </c>
      <c r="B61">
        <v>20.3</v>
      </c>
      <c r="C61" t="s">
        <v>33</v>
      </c>
    </row>
    <row r="62" spans="1:3" x14ac:dyDescent="0.3">
      <c r="A62" t="s">
        <v>34</v>
      </c>
      <c r="B62">
        <v>80.709999999999994</v>
      </c>
      <c r="C62" t="s">
        <v>33</v>
      </c>
    </row>
    <row r="63" spans="1:3" x14ac:dyDescent="0.3">
      <c r="A63" t="s">
        <v>21</v>
      </c>
      <c r="B63">
        <v>0.17</v>
      </c>
      <c r="C63" t="s">
        <v>35</v>
      </c>
    </row>
    <row r="64" spans="1:3" x14ac:dyDescent="0.3">
      <c r="A64" t="s">
        <v>36</v>
      </c>
      <c r="B64">
        <v>8.67</v>
      </c>
      <c r="C64" t="s">
        <v>33</v>
      </c>
    </row>
    <row r="65" spans="1:3" x14ac:dyDescent="0.3">
      <c r="A65" t="s">
        <v>37</v>
      </c>
      <c r="B65">
        <v>7.12</v>
      </c>
      <c r="C65" t="s">
        <v>33</v>
      </c>
    </row>
    <row r="66" spans="1:3" x14ac:dyDescent="0.3">
      <c r="A66" t="s">
        <v>22</v>
      </c>
      <c r="B66">
        <v>0.12</v>
      </c>
      <c r="C66" t="s">
        <v>35</v>
      </c>
    </row>
    <row r="67" spans="1:3" x14ac:dyDescent="0.3">
      <c r="A67" t="s">
        <v>19</v>
      </c>
      <c r="B67">
        <v>0.12</v>
      </c>
      <c r="C67" t="s">
        <v>35</v>
      </c>
    </row>
    <row r="68" spans="1:3" x14ac:dyDescent="0.3">
      <c r="A68" t="s">
        <v>20</v>
      </c>
      <c r="B68">
        <v>4.83</v>
      </c>
      <c r="C68" t="s">
        <v>33</v>
      </c>
    </row>
    <row r="69" spans="1:3" x14ac:dyDescent="0.3">
      <c r="A69" t="s">
        <v>23</v>
      </c>
      <c r="B69">
        <v>0.88</v>
      </c>
      <c r="C69" t="s">
        <v>33</v>
      </c>
    </row>
    <row r="70" spans="1:3" x14ac:dyDescent="0.3">
      <c r="A70" t="s">
        <v>38</v>
      </c>
      <c r="B70">
        <v>2.44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64.34</v>
      </c>
      <c r="C72" t="s">
        <v>35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202E-1831-4245-8159-90259CFBDE6D}">
  <sheetPr codeName="Sheet17"/>
  <dimension ref="A1:C72"/>
  <sheetViews>
    <sheetView workbookViewId="0">
      <selection activeCell="F20" sqref="F20"/>
    </sheetView>
  </sheetViews>
  <sheetFormatPr defaultRowHeight="14.4" x14ac:dyDescent="0.3"/>
  <sheetData>
    <row r="1" spans="1:3" x14ac:dyDescent="0.3">
      <c r="A1" t="s">
        <v>322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2.41</v>
      </c>
      <c r="C5" t="s">
        <v>5</v>
      </c>
    </row>
    <row r="6" spans="1:3" x14ac:dyDescent="0.3">
      <c r="A6" t="s">
        <v>18</v>
      </c>
      <c r="B6">
        <v>2.41</v>
      </c>
      <c r="C6" t="s">
        <v>5</v>
      </c>
    </row>
    <row r="7" spans="1:3" x14ac:dyDescent="0.3">
      <c r="A7" t="s">
        <v>31</v>
      </c>
      <c r="B7" s="2">
        <v>-9.01E-4</v>
      </c>
      <c r="C7" t="s">
        <v>5</v>
      </c>
    </row>
    <row r="8" spans="1:3" x14ac:dyDescent="0.3">
      <c r="A8" t="s">
        <v>32</v>
      </c>
      <c r="B8">
        <v>5.14</v>
      </c>
      <c r="C8" t="s">
        <v>35</v>
      </c>
    </row>
    <row r="9" spans="1:3" x14ac:dyDescent="0.3">
      <c r="A9" t="s">
        <v>34</v>
      </c>
      <c r="B9">
        <v>5.35</v>
      </c>
      <c r="C9" t="s">
        <v>35</v>
      </c>
    </row>
    <row r="10" spans="1:3" x14ac:dyDescent="0.3">
      <c r="A10" t="s">
        <v>21</v>
      </c>
      <c r="B10">
        <v>2.4700000000000002</v>
      </c>
      <c r="C10" t="s">
        <v>35</v>
      </c>
    </row>
    <row r="11" spans="1:3" x14ac:dyDescent="0.3">
      <c r="A11" t="s">
        <v>36</v>
      </c>
      <c r="B11">
        <v>0.11</v>
      </c>
      <c r="C11" t="s">
        <v>35</v>
      </c>
    </row>
    <row r="12" spans="1:3" x14ac:dyDescent="0.3">
      <c r="A12" t="s">
        <v>37</v>
      </c>
      <c r="B12">
        <v>96.95</v>
      </c>
      <c r="C12" t="s">
        <v>33</v>
      </c>
    </row>
    <row r="13" spans="1:3" x14ac:dyDescent="0.3">
      <c r="A13" t="s">
        <v>22</v>
      </c>
      <c r="B13">
        <v>0.87</v>
      </c>
      <c r="C13" t="s">
        <v>35</v>
      </c>
    </row>
    <row r="14" spans="1:3" x14ac:dyDescent="0.3">
      <c r="A14" t="s">
        <v>19</v>
      </c>
      <c r="B14">
        <v>7.62</v>
      </c>
      <c r="C14" t="s">
        <v>35</v>
      </c>
    </row>
    <row r="15" spans="1:3" x14ac:dyDescent="0.3">
      <c r="A15" t="s">
        <v>20</v>
      </c>
      <c r="B15">
        <v>49.55</v>
      </c>
      <c r="C15" t="s">
        <v>33</v>
      </c>
    </row>
    <row r="16" spans="1:3" x14ac:dyDescent="0.3">
      <c r="A16" t="s">
        <v>23</v>
      </c>
      <c r="B16">
        <v>17.170000000000002</v>
      </c>
      <c r="C16" t="s">
        <v>33</v>
      </c>
    </row>
    <row r="17" spans="1:3" x14ac:dyDescent="0.3">
      <c r="A17" t="s">
        <v>38</v>
      </c>
      <c r="B17">
        <v>39.94</v>
      </c>
      <c r="C17" t="s">
        <v>33</v>
      </c>
    </row>
    <row r="18" spans="1:3" x14ac:dyDescent="0.3">
      <c r="A18" t="s">
        <v>39</v>
      </c>
    </row>
    <row r="19" spans="1:3" x14ac:dyDescent="0.3">
      <c r="A19" t="s">
        <v>41</v>
      </c>
      <c r="B19">
        <v>2.68</v>
      </c>
      <c r="C19" t="s">
        <v>5</v>
      </c>
    </row>
    <row r="20" spans="1:3" x14ac:dyDescent="0.3">
      <c r="A20" t="s">
        <v>42</v>
      </c>
    </row>
    <row r="21" spans="1:3" x14ac:dyDescent="0.3">
      <c r="A21" t="s">
        <v>43</v>
      </c>
      <c r="B21">
        <v>0</v>
      </c>
      <c r="C21" t="s">
        <v>44</v>
      </c>
    </row>
    <row r="22" spans="1:3" x14ac:dyDescent="0.3">
      <c r="A22" t="s">
        <v>45</v>
      </c>
    </row>
    <row r="23" spans="1:3" x14ac:dyDescent="0.3">
      <c r="A23" t="s">
        <v>29</v>
      </c>
    </row>
    <row r="24" spans="1:3" x14ac:dyDescent="0.3">
      <c r="A24" t="s">
        <v>45</v>
      </c>
      <c r="B24">
        <v>43</v>
      </c>
      <c r="C24" t="s">
        <v>12</v>
      </c>
    </row>
    <row r="25" spans="1:3" x14ac:dyDescent="0.3">
      <c r="A25" t="s">
        <v>47</v>
      </c>
      <c r="B25">
        <v>1913.22</v>
      </c>
      <c r="C25" t="s">
        <v>48</v>
      </c>
    </row>
    <row r="26" spans="1:3" x14ac:dyDescent="0.3">
      <c r="A26" t="s">
        <v>52</v>
      </c>
      <c r="B26">
        <v>1357.62</v>
      </c>
      <c r="C26" t="s">
        <v>48</v>
      </c>
    </row>
    <row r="27" spans="1:3" x14ac:dyDescent="0.3">
      <c r="A27" t="s">
        <v>51</v>
      </c>
      <c r="B27">
        <v>205.84</v>
      </c>
      <c r="C27" t="s">
        <v>48</v>
      </c>
    </row>
    <row r="28" spans="1:3" x14ac:dyDescent="0.3">
      <c r="A28" t="s">
        <v>49</v>
      </c>
      <c r="B28">
        <v>175.94</v>
      </c>
      <c r="C28" t="s">
        <v>48</v>
      </c>
    </row>
    <row r="29" spans="1:3" x14ac:dyDescent="0.3">
      <c r="A29" t="s">
        <v>50</v>
      </c>
      <c r="B29">
        <v>173.82</v>
      </c>
      <c r="C29" t="s">
        <v>48</v>
      </c>
    </row>
    <row r="30" spans="1:3" x14ac:dyDescent="0.3">
      <c r="A30" t="s">
        <v>53</v>
      </c>
      <c r="B30">
        <v>892.46</v>
      </c>
      <c r="C30" t="s">
        <v>46</v>
      </c>
    </row>
    <row r="31" spans="1:3" x14ac:dyDescent="0.3">
      <c r="A31" t="s">
        <v>54</v>
      </c>
      <c r="B31">
        <v>40</v>
      </c>
      <c r="C31" t="s">
        <v>12</v>
      </c>
    </row>
    <row r="32" spans="1:3" x14ac:dyDescent="0.3">
      <c r="A32" t="s">
        <v>55</v>
      </c>
      <c r="B32">
        <v>557.59</v>
      </c>
      <c r="C32" t="s">
        <v>46</v>
      </c>
    </row>
    <row r="33" spans="1:3" x14ac:dyDescent="0.3">
      <c r="A33" t="s">
        <v>56</v>
      </c>
      <c r="B33">
        <v>9825.77</v>
      </c>
      <c r="C33" t="s">
        <v>58</v>
      </c>
    </row>
    <row r="34" spans="1:3" x14ac:dyDescent="0.3">
      <c r="A34" t="s">
        <v>57</v>
      </c>
      <c r="B34">
        <v>1712.35</v>
      </c>
      <c r="C34" t="s">
        <v>58</v>
      </c>
    </row>
    <row r="35" spans="1:3" x14ac:dyDescent="0.3">
      <c r="A35" t="s">
        <v>59</v>
      </c>
      <c r="B35">
        <v>2710.03</v>
      </c>
      <c r="C35" t="s">
        <v>58</v>
      </c>
    </row>
    <row r="36" spans="1:3" x14ac:dyDescent="0.3">
      <c r="A36" t="s">
        <v>60</v>
      </c>
      <c r="B36">
        <v>1.1299999999999999</v>
      </c>
      <c r="C36" t="s">
        <v>33</v>
      </c>
    </row>
    <row r="37" spans="1:3" x14ac:dyDescent="0.3">
      <c r="A37" t="s">
        <v>61</v>
      </c>
      <c r="B37">
        <v>37.94</v>
      </c>
      <c r="C37" t="s">
        <v>46</v>
      </c>
    </row>
    <row r="38" spans="1:3" x14ac:dyDescent="0.3">
      <c r="A38" t="s">
        <v>62</v>
      </c>
      <c r="B38">
        <v>119.54</v>
      </c>
      <c r="C38" t="s">
        <v>46</v>
      </c>
    </row>
    <row r="39" spans="1:3" x14ac:dyDescent="0.3">
      <c r="A39" t="s">
        <v>63</v>
      </c>
      <c r="B39">
        <v>2378.15</v>
      </c>
      <c r="C39" t="s">
        <v>58</v>
      </c>
    </row>
    <row r="40" spans="1:3" x14ac:dyDescent="0.3">
      <c r="A40" t="s">
        <v>64</v>
      </c>
      <c r="B40">
        <v>3661.48</v>
      </c>
      <c r="C40" t="s">
        <v>58</v>
      </c>
    </row>
    <row r="41" spans="1:3" x14ac:dyDescent="0.3">
      <c r="A41" t="s">
        <v>65</v>
      </c>
      <c r="B41">
        <v>28.58</v>
      </c>
      <c r="C41" t="s">
        <v>46</v>
      </c>
    </row>
    <row r="42" spans="1:3" x14ac:dyDescent="0.3">
      <c r="A42" t="s">
        <v>66</v>
      </c>
      <c r="B42">
        <v>144.6</v>
      </c>
      <c r="C42" t="s">
        <v>46</v>
      </c>
    </row>
    <row r="43" spans="1:3" x14ac:dyDescent="0.3">
      <c r="A43" t="s">
        <v>67</v>
      </c>
      <c r="B43">
        <v>97.7</v>
      </c>
      <c r="C43" t="s">
        <v>46</v>
      </c>
    </row>
    <row r="44" spans="1:3" x14ac:dyDescent="0.3">
      <c r="A44" t="s">
        <v>68</v>
      </c>
      <c r="B44">
        <v>117.55</v>
      </c>
      <c r="C44" t="s">
        <v>46</v>
      </c>
    </row>
    <row r="45" spans="1:3" x14ac:dyDescent="0.3">
      <c r="A45" t="s">
        <v>39</v>
      </c>
      <c r="B45" t="s">
        <v>69</v>
      </c>
    </row>
    <row r="46" spans="1:3" x14ac:dyDescent="0.3">
      <c r="A46" t="s">
        <v>70</v>
      </c>
      <c r="B46">
        <v>42</v>
      </c>
      <c r="C46" t="s">
        <v>12</v>
      </c>
    </row>
    <row r="47" spans="1:3" x14ac:dyDescent="0.3">
      <c r="A47" t="s">
        <v>72</v>
      </c>
      <c r="B47">
        <v>40</v>
      </c>
      <c r="C47" t="s">
        <v>12</v>
      </c>
    </row>
    <row r="48" spans="1:3" x14ac:dyDescent="0.3">
      <c r="A48" t="s">
        <v>76</v>
      </c>
      <c r="B48">
        <v>1254</v>
      </c>
      <c r="C48" t="s">
        <v>46</v>
      </c>
    </row>
    <row r="49" spans="1:3" x14ac:dyDescent="0.3">
      <c r="A49" t="s">
        <v>71</v>
      </c>
      <c r="B49">
        <v>557.59</v>
      </c>
      <c r="C49" t="s">
        <v>46</v>
      </c>
    </row>
    <row r="50" spans="1:3" x14ac:dyDescent="0.3">
      <c r="A50" t="s">
        <v>73</v>
      </c>
      <c r="B50">
        <v>204.64</v>
      </c>
      <c r="C50" t="s">
        <v>46</v>
      </c>
    </row>
    <row r="51" spans="1:3" x14ac:dyDescent="0.3">
      <c r="A51" t="s">
        <v>74</v>
      </c>
      <c r="B51">
        <v>119.54</v>
      </c>
      <c r="C51" t="s">
        <v>46</v>
      </c>
    </row>
    <row r="52" spans="1:3" x14ac:dyDescent="0.3">
      <c r="A52" t="s">
        <v>75</v>
      </c>
      <c r="B52">
        <v>85.1</v>
      </c>
      <c r="C52" t="s">
        <v>46</v>
      </c>
    </row>
    <row r="53" spans="1:3" x14ac:dyDescent="0.3">
      <c r="A53" t="s">
        <v>77</v>
      </c>
      <c r="B53">
        <v>9825.77</v>
      </c>
      <c r="C53" t="s">
        <v>58</v>
      </c>
    </row>
    <row r="54" spans="1:3" x14ac:dyDescent="0.3">
      <c r="A54" t="s">
        <v>79</v>
      </c>
      <c r="B54">
        <v>1913.22</v>
      </c>
      <c r="C54" t="s">
        <v>48</v>
      </c>
    </row>
    <row r="55" spans="1:3" x14ac:dyDescent="0.3">
      <c r="A55" t="s">
        <v>78</v>
      </c>
    </row>
    <row r="56" spans="1:3" x14ac:dyDescent="0.3">
      <c r="A56" t="s">
        <v>29</v>
      </c>
    </row>
    <row r="57" spans="1:3" x14ac:dyDescent="0.3">
      <c r="A57" t="s">
        <v>28</v>
      </c>
    </row>
    <row r="58" spans="1:3" x14ac:dyDescent="0.3">
      <c r="A58" t="s">
        <v>30</v>
      </c>
      <c r="B58">
        <v>43.45</v>
      </c>
      <c r="C58" t="s">
        <v>35</v>
      </c>
    </row>
    <row r="59" spans="1:3" x14ac:dyDescent="0.3">
      <c r="A59" t="s">
        <v>18</v>
      </c>
      <c r="B59">
        <v>43.66</v>
      </c>
      <c r="C59" t="s">
        <v>35</v>
      </c>
    </row>
    <row r="60" spans="1:3" x14ac:dyDescent="0.3">
      <c r="A60" t="s">
        <v>31</v>
      </c>
      <c r="B60" s="2">
        <v>-2.0599999999999999E-4</v>
      </c>
      <c r="C60" t="s">
        <v>5</v>
      </c>
    </row>
    <row r="61" spans="1:3" x14ac:dyDescent="0.3">
      <c r="A61" t="s">
        <v>32</v>
      </c>
      <c r="B61">
        <v>22.97</v>
      </c>
      <c r="C61" t="s">
        <v>33</v>
      </c>
    </row>
    <row r="62" spans="1:3" x14ac:dyDescent="0.3">
      <c r="A62" t="s">
        <v>34</v>
      </c>
      <c r="B62">
        <v>97.78</v>
      </c>
      <c r="C62" t="s">
        <v>33</v>
      </c>
    </row>
    <row r="63" spans="1:3" x14ac:dyDescent="0.3">
      <c r="A63" t="s">
        <v>21</v>
      </c>
      <c r="B63">
        <v>0.15</v>
      </c>
      <c r="C63" t="s">
        <v>35</v>
      </c>
    </row>
    <row r="64" spans="1:3" x14ac:dyDescent="0.3">
      <c r="A64" t="s">
        <v>36</v>
      </c>
      <c r="B64">
        <v>5.0199999999999996</v>
      </c>
      <c r="C64" t="s">
        <v>33</v>
      </c>
    </row>
    <row r="65" spans="1:3" x14ac:dyDescent="0.3">
      <c r="A65" t="s">
        <v>37</v>
      </c>
      <c r="B65">
        <v>4.03</v>
      </c>
      <c r="C65" t="s">
        <v>33</v>
      </c>
    </row>
    <row r="66" spans="1:3" x14ac:dyDescent="0.3">
      <c r="A66" t="s">
        <v>22</v>
      </c>
      <c r="B66">
        <v>72.41</v>
      </c>
      <c r="C66" t="s">
        <v>33</v>
      </c>
    </row>
    <row r="67" spans="1:3" x14ac:dyDescent="0.3">
      <c r="A67" t="s">
        <v>19</v>
      </c>
      <c r="B67">
        <v>0.12</v>
      </c>
      <c r="C67" t="s">
        <v>35</v>
      </c>
    </row>
    <row r="68" spans="1:3" x14ac:dyDescent="0.3">
      <c r="A68" t="s">
        <v>20</v>
      </c>
      <c r="B68">
        <v>6.18</v>
      </c>
      <c r="C68" t="s">
        <v>33</v>
      </c>
    </row>
    <row r="69" spans="1:3" x14ac:dyDescent="0.3">
      <c r="A69" t="s">
        <v>23</v>
      </c>
      <c r="B69">
        <v>0.5</v>
      </c>
      <c r="C69" t="s">
        <v>33</v>
      </c>
    </row>
    <row r="70" spans="1:3" x14ac:dyDescent="0.3">
      <c r="A70" t="s">
        <v>38</v>
      </c>
      <c r="B70">
        <v>1.33</v>
      </c>
      <c r="C70" t="s">
        <v>33</v>
      </c>
    </row>
    <row r="71" spans="1:3" x14ac:dyDescent="0.3">
      <c r="A71" t="s">
        <v>39</v>
      </c>
    </row>
    <row r="72" spans="1:3" x14ac:dyDescent="0.3">
      <c r="A72" t="s">
        <v>41</v>
      </c>
      <c r="B72">
        <v>49.01</v>
      </c>
      <c r="C72" t="s">
        <v>35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1CC4-F2E2-49DB-88A3-7C140EEC44F6}">
  <sheetPr codeName="Sheet15"/>
  <dimension ref="A1:H12"/>
  <sheetViews>
    <sheetView workbookViewId="0">
      <selection activeCell="C11" sqref="C11"/>
    </sheetView>
  </sheetViews>
  <sheetFormatPr defaultRowHeight="14.4" x14ac:dyDescent="0.3"/>
  <cols>
    <col min="1" max="1" width="53.33203125" customWidth="1"/>
    <col min="3" max="8" width="12" bestFit="1" customWidth="1"/>
  </cols>
  <sheetData>
    <row r="1" spans="1:8" x14ac:dyDescent="0.3">
      <c r="A1" t="s">
        <v>655</v>
      </c>
    </row>
    <row r="3" spans="1:8" x14ac:dyDescent="0.3">
      <c r="A3" t="s">
        <v>199</v>
      </c>
      <c r="B3" t="s">
        <v>446</v>
      </c>
      <c r="C3" t="s">
        <v>447</v>
      </c>
      <c r="D3" t="s">
        <v>448</v>
      </c>
      <c r="E3" t="s">
        <v>449</v>
      </c>
      <c r="F3" t="s">
        <v>450</v>
      </c>
      <c r="G3" t="s">
        <v>451</v>
      </c>
      <c r="H3" t="s">
        <v>452</v>
      </c>
    </row>
    <row r="4" spans="1:8" x14ac:dyDescent="0.3">
      <c r="A4" t="s">
        <v>620</v>
      </c>
      <c r="B4">
        <f>'Potatoes at farm_inputs_Simapro'!E21*'Diesel building maching_GREET'!Q19</f>
        <v>8.4856299999999996E-2</v>
      </c>
      <c r="C4">
        <f>'Potatoes at farm_inputs_Simapro'!E21*'Diesel building maching_GREET'!Q18</f>
        <v>1.6337E-4</v>
      </c>
      <c r="D4">
        <f>'Potatoes at farm_inputs_Simapro'!E21*'Diesel building maching_GREET'!Q20</f>
        <v>3.7478999999999998E-7</v>
      </c>
      <c r="E4">
        <f>'Potatoes at farm_inputs_Simapro'!E21*'Diesel building maching_GREET'!Q14</f>
        <v>7.0892969999999985E-5</v>
      </c>
      <c r="F4">
        <f>'Potatoes at farm_inputs_Simapro'!E21*'Diesel building maching_GREET'!Q17</f>
        <v>1.5231849999999999E-5</v>
      </c>
      <c r="G4">
        <f>'Potatoes at farm_inputs_Simapro'!E21*'Diesel building maching_GREET'!Q21</f>
        <v>3.5557E-7</v>
      </c>
      <c r="H4">
        <f>'Potatoes at farm_inputs_Simapro'!E21*'Diesel building maching_GREET'!Q22</f>
        <v>6.3425999999999996E-7</v>
      </c>
    </row>
    <row r="5" spans="1:8" x14ac:dyDescent="0.3">
      <c r="A5" t="s">
        <v>213</v>
      </c>
      <c r="B5">
        <f>'Potatoes at farm_inputs_Simapro'!B15*'Ammonia production_GREET'!B5</f>
        <v>5.7309800000000001E-3</v>
      </c>
      <c r="C5">
        <f>'Potatoes at farm_inputs_Simapro'!B15*'Ammonia production_GREET'!B14*10^-3</f>
        <v>1.8120359999999997E-5</v>
      </c>
      <c r="D5">
        <f>'Potatoes at farm_inputs_Simapro'!B15*'Ammonia production_GREET'!B15*10^-6</f>
        <v>1.1782989999999998E-7</v>
      </c>
      <c r="E5">
        <f>'Potatoes at farm_inputs_Simapro'!B15*'Ammonia production_GREET'!B10*10^-3</f>
        <v>5.8736599999999999E-6</v>
      </c>
      <c r="F5">
        <f>'Potatoes at farm_inputs_Simapro'!B15*'Ammonia production_GREET'!B13*10^-3</f>
        <v>2.06886E-6</v>
      </c>
      <c r="G5">
        <f>'Potatoes at farm_inputs_Simapro'!B15*'Ammonia production_GREET'!B16*10^-6</f>
        <v>4.0830259999999999E-8</v>
      </c>
      <c r="H5">
        <f>'Potatoes at farm_inputs_Simapro'!B15*'Ammonia production_GREET'!B17*10^-6</f>
        <v>9.4977319999999987E-8</v>
      </c>
    </row>
    <row r="6" spans="1:8" x14ac:dyDescent="0.3">
      <c r="A6" t="s">
        <v>214</v>
      </c>
      <c r="B6">
        <f>'Potatoes at farm_inputs_Simapro'!B16*Urea_GREET!B5</f>
        <v>8.885376E-4</v>
      </c>
      <c r="C6">
        <f>'Potatoes at farm_inputs_Simapro'!B16*Urea_GREET!B14*10^-3</f>
        <v>4.5907776000000002E-6</v>
      </c>
      <c r="D6">
        <f>'Potatoes at farm_inputs_Simapro'!B16*Urea_GREET!B15*10^-6</f>
        <v>3.2382259199999995E-8</v>
      </c>
      <c r="E6">
        <f>'Potatoes at farm_inputs_Simapro'!B16*Urea_GREET!B10*10^-3</f>
        <v>2.3200703999999998E-6</v>
      </c>
      <c r="F6">
        <f>'Potatoes at farm_inputs_Simapro'!B16*Urea_GREET!B13*10^-3</f>
        <v>9.8726399999999991E-7</v>
      </c>
      <c r="G6">
        <f>'Potatoes at farm_inputs_Simapro'!B16*Urea_GREET!B16*10^-6</f>
        <v>1.8782697599999996E-8</v>
      </c>
      <c r="H6">
        <f>'Potatoes at farm_inputs_Simapro'!B16*Urea_GREET!B17*10^-6</f>
        <v>4.88119776E-8</v>
      </c>
    </row>
    <row r="7" spans="1:8" x14ac:dyDescent="0.3">
      <c r="A7" t="s">
        <v>215</v>
      </c>
      <c r="B7">
        <f>'Potatoes at farm_inputs_Simapro'!B17*'Ammonium nitrate_GREET'!B5</f>
        <v>1.4314859999999998E-3</v>
      </c>
      <c r="C7">
        <f>'Potatoes at farm_inputs_Simapro'!B17*'Ammonium nitrate_GREET'!B14*10^-3</f>
        <v>4.3171799999999994E-6</v>
      </c>
      <c r="D7">
        <f>'Potatoes at farm_inputs_Simapro'!B17*'Ammonium nitrate_GREET'!B15*10^-3</f>
        <v>4.2830969999999998E-6</v>
      </c>
      <c r="E7">
        <f>'Potatoes at farm_inputs_Simapro'!B17*'Ammonium nitrate_GREET'!B10*10^-3</f>
        <v>3.9081839999999997E-6</v>
      </c>
      <c r="F7">
        <f>'Potatoes at farm_inputs_Simapro'!B13*'Ammonium nitrate_GREET'!B10*10^-6</f>
        <v>3.4399999999999997E-6</v>
      </c>
      <c r="G7">
        <f>'Potatoes at farm_inputs_Simapro'!B13*'Ammonium nitrate_GREET'!B16*10^-9</f>
        <v>2.274E-8</v>
      </c>
      <c r="H7">
        <f>'Potatoes at farm_inputs_Simapro'!B13*'Ammonium nitrate_GREET'!B17*10^-9</f>
        <v>6.374E-8</v>
      </c>
    </row>
    <row r="8" spans="1:8" x14ac:dyDescent="0.3">
      <c r="A8" t="s">
        <v>216</v>
      </c>
      <c r="B8">
        <f>('Potatoes at farm_inputs_Simapro'!B18)*'Diammonium phosphate_GREET'!B5</f>
        <v>1.9472949999999999E-3</v>
      </c>
      <c r="C8">
        <f>('Potatoes at farm_inputs_Simapro'!B18)*'Diammonium phosphate_GREET'!$B$14*10^-3</f>
        <v>5.1645649999999997E-6</v>
      </c>
      <c r="D8">
        <f>('Potatoes at farm_inputs_Simapro'!B18)*'Diammonium phosphate_GREET'!$B$15*10^-6</f>
        <v>4.0571467999999997E-8</v>
      </c>
      <c r="E8">
        <f>('Potatoes at farm_inputs_Simapro'!B18)*'Diammonium phosphate_GREET'!$B$10*10^-3</f>
        <v>6.7731999999999998E-6</v>
      </c>
      <c r="F8">
        <f>('Potatoes at farm_inputs_Simapro'!B18)*'Diammonium phosphate_GREET'!$B$13*10^-3</f>
        <v>7.8061130000000006E-5</v>
      </c>
      <c r="G8">
        <f>('Potatoes at farm_inputs_Simapro'!B18)*'Diammonium phosphate_GREET'!$B$16*10^-6</f>
        <v>6.2144110000000006E-8</v>
      </c>
      <c r="H8">
        <f>('Potatoes at farm_inputs_Simapro'!B18)*'Diammonium phosphate_GREET'!$B$17*10^-6</f>
        <v>1.46893775E-7</v>
      </c>
    </row>
    <row r="9" spans="1:8" x14ac:dyDescent="0.3">
      <c r="A9" t="s">
        <v>217</v>
      </c>
      <c r="B9">
        <f>('Potatoes at farm_inputs_Simapro'!B19)*'Diammonium phosphate_GREET'!B5</f>
        <v>4.9763949999999998E-3</v>
      </c>
      <c r="C9">
        <f>('Potatoes at farm_inputs_Simapro'!B19)*'Diammonium phosphate_GREET'!$B$14*10^-3</f>
        <v>1.3198265E-5</v>
      </c>
      <c r="D9">
        <f>('Potatoes at farm_inputs_Simapro'!B19)*'Diammonium phosphate_GREET'!$B$15*10^-6</f>
        <v>1.0368210800000001E-7</v>
      </c>
      <c r="E9">
        <f>('Potatoes at farm_inputs_Simapro'!B19)*'Diammonium phosphate_GREET'!$B$10*10^-6</f>
        <v>1.7309200000000001E-8</v>
      </c>
      <c r="F9">
        <f>('Potatoes at farm_inputs_Simapro'!B19)*'Diammonium phosphate_GREET'!$B$13*10^-3</f>
        <v>1.9948852999999999E-4</v>
      </c>
      <c r="G9">
        <f>('Potatoes at farm_inputs_Simapro'!B19)*'Diammonium phosphate_GREET'!$B$16*10^-6</f>
        <v>1.5881191000000002E-7</v>
      </c>
      <c r="H9">
        <f>('Potatoes at farm_inputs_Simapro'!B19)*'Diammonium phosphate_GREET'!$B$17*10^-6</f>
        <v>3.75393275E-7</v>
      </c>
    </row>
    <row r="10" spans="1:8" x14ac:dyDescent="0.3">
      <c r="A10" t="s">
        <v>218</v>
      </c>
      <c r="B10">
        <f>'Potatoes at farm_inputs_Simapro'!B20*'Potassium chloride_GREET'!B5</f>
        <v>2.1880520000000002E-3</v>
      </c>
      <c r="C10">
        <f>'Potatoes at farm_inputs_Simapro'!B20*'Potassium chloride_GREET'!B14*10^-3</f>
        <v>4.4999560000000006E-6</v>
      </c>
      <c r="D10">
        <f>'Potatoes at farm_inputs_Simapro'!B20*'Potassium chloride_GREET'!B15*10^-6</f>
        <v>4.3017927999999992E-8</v>
      </c>
      <c r="E10">
        <f>'Potatoes at farm_inputs_Simapro'!B20*'Potassium chloride_GREET'!B10*10^-3</f>
        <v>6.3577360000000003E-6</v>
      </c>
      <c r="F10">
        <f>'Potatoes at farm_inputs_Simapro'!B20*'Potassium chloride_GREET'!B13*10^-3</f>
        <v>8.009096E-6</v>
      </c>
      <c r="G10">
        <f>'Potatoes at farm_inputs_Simapro'!B20*'Potassium chloride_GREET'!B16*10^-6</f>
        <v>5.4701299999999998E-8</v>
      </c>
      <c r="H10">
        <f>'Potatoes at farm_inputs_Simapro'!B20*'Potassium chloride_GREET'!B17*10^-6</f>
        <v>1.4391602399999998E-7</v>
      </c>
    </row>
    <row r="11" spans="1:8" x14ac:dyDescent="0.3">
      <c r="A11" t="s">
        <v>219</v>
      </c>
      <c r="B11">
        <f>'Potatoes at farm_inputs_Simapro'!B21*Pesticides_GREET!B5</f>
        <v>3.3664000000000003E-3</v>
      </c>
      <c r="C11">
        <f>'Potatoes at farm_inputs_Simapro'!B21*Pesticides_GREET!B14*10^-3</f>
        <v>5.9184000000000008E-6</v>
      </c>
      <c r="D11">
        <f>'Potatoes at farm_inputs_Simapro'!B21*Pesticides_GREET!B15*10^-3</f>
        <v>5.280000000000001E-8</v>
      </c>
      <c r="E11">
        <f>'Potatoes at farm_inputs_Simapro'!B21*Pesticides_GREET!B10*10^-6</f>
        <v>9.9327999999999994E-9</v>
      </c>
      <c r="F11">
        <f>'Potatoes at farm_inputs_Simapro'!B21*Pesticides_GREET!B13*10^-3</f>
        <v>2.1136000000000004E-6</v>
      </c>
      <c r="G11">
        <f>'Potatoes at farm_inputs_Simapro'!B21*Pesticides_GREET!B16*10^-6</f>
        <v>1.6800000000000001E-10</v>
      </c>
      <c r="H11">
        <f>'Potatoes at farm_inputs_Simapro'!B21*Pesticides_GREET!B17*10^-6</f>
        <v>9.9200000000000004E-11</v>
      </c>
    </row>
    <row r="12" spans="1:8" x14ac:dyDescent="0.3">
      <c r="A12" t="s">
        <v>112</v>
      </c>
      <c r="B12">
        <f>SUM(B4:B11)</f>
        <v>0.10538544559999999</v>
      </c>
      <c r="C12">
        <f t="shared" ref="C12:H12" si="0">SUM(C4:C11)</f>
        <v>2.1917950360000001E-4</v>
      </c>
      <c r="D12">
        <f t="shared" si="0"/>
        <v>5.0481706631999999E-6</v>
      </c>
      <c r="E12">
        <f t="shared" si="0"/>
        <v>9.6153062399999975E-5</v>
      </c>
      <c r="F12">
        <f t="shared" si="0"/>
        <v>3.0940033000000002E-4</v>
      </c>
      <c r="G12">
        <f t="shared" si="0"/>
        <v>7.1374827760000007E-7</v>
      </c>
      <c r="H12">
        <f t="shared" si="0"/>
        <v>1.5080915716000001E-6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55C2-66ED-4F22-974E-076B0E611581}">
  <sheetPr codeName="Sheet14"/>
  <dimension ref="A1:F21"/>
  <sheetViews>
    <sheetView zoomScale="115" zoomScaleNormal="115" workbookViewId="0">
      <selection activeCell="G13" sqref="G13"/>
    </sheetView>
  </sheetViews>
  <sheetFormatPr defaultRowHeight="14.4" x14ac:dyDescent="0.3"/>
  <cols>
    <col min="1" max="1" width="53.109375" customWidth="1"/>
    <col min="2" max="2" width="12" bestFit="1" customWidth="1"/>
  </cols>
  <sheetData>
    <row r="1" spans="1:6" x14ac:dyDescent="0.3">
      <c r="A1" t="s">
        <v>198</v>
      </c>
    </row>
    <row r="3" spans="1:6" x14ac:dyDescent="0.3">
      <c r="A3" t="s">
        <v>199</v>
      </c>
      <c r="B3" t="s">
        <v>2</v>
      </c>
      <c r="C3" t="s">
        <v>3</v>
      </c>
      <c r="E3" t="s">
        <v>200</v>
      </c>
      <c r="F3" t="s">
        <v>3</v>
      </c>
    </row>
    <row r="4" spans="1:6" x14ac:dyDescent="0.3">
      <c r="A4" t="s">
        <v>201</v>
      </c>
      <c r="B4">
        <v>2.4389999999999999E-5</v>
      </c>
      <c r="C4" t="s">
        <v>202</v>
      </c>
      <c r="E4">
        <f>0.0209</f>
        <v>2.0899999999999998E-2</v>
      </c>
      <c r="F4" t="s">
        <v>12</v>
      </c>
    </row>
    <row r="5" spans="1:6" x14ac:dyDescent="0.3">
      <c r="A5" t="s">
        <v>203</v>
      </c>
      <c r="B5">
        <v>2.4389999999999999E-5</v>
      </c>
      <c r="C5" t="s">
        <v>202</v>
      </c>
      <c r="E5">
        <f>0.0251</f>
        <v>2.5100000000000001E-2</v>
      </c>
      <c r="F5" t="s">
        <v>12</v>
      </c>
    </row>
    <row r="6" spans="1:6" x14ac:dyDescent="0.3">
      <c r="A6" t="s">
        <v>204</v>
      </c>
      <c r="B6">
        <v>2.4389999999999999E-5</v>
      </c>
      <c r="C6" t="s">
        <v>202</v>
      </c>
      <c r="E6">
        <f>0.0125</f>
        <v>1.2500000000000001E-2</v>
      </c>
      <c r="F6" t="s">
        <v>12</v>
      </c>
    </row>
    <row r="7" spans="1:6" x14ac:dyDescent="0.3">
      <c r="A7" t="s">
        <v>205</v>
      </c>
      <c r="B7">
        <f>0.00004878</f>
        <v>4.8779999999999997E-5</v>
      </c>
      <c r="C7" t="s">
        <v>202</v>
      </c>
      <c r="E7">
        <f>0.0171</f>
        <v>1.7100000000000001E-2</v>
      </c>
      <c r="F7" t="s">
        <v>12</v>
      </c>
    </row>
    <row r="8" spans="1:6" x14ac:dyDescent="0.3">
      <c r="A8" t="s">
        <v>206</v>
      </c>
      <c r="B8">
        <f>0.00004878</f>
        <v>4.8779999999999997E-5</v>
      </c>
      <c r="C8" t="s">
        <v>202</v>
      </c>
      <c r="E8">
        <f>0.0153</f>
        <v>1.5299999999999999E-2</v>
      </c>
      <c r="F8" t="s">
        <v>12</v>
      </c>
    </row>
    <row r="9" spans="1:6" x14ac:dyDescent="0.3">
      <c r="A9" t="s">
        <v>207</v>
      </c>
      <c r="B9">
        <f>0.00002439</f>
        <v>2.4389999999999999E-5</v>
      </c>
      <c r="C9" t="s">
        <v>202</v>
      </c>
      <c r="E9">
        <f>0.0418</f>
        <v>4.1799999999999997E-2</v>
      </c>
      <c r="F9" t="s">
        <v>12</v>
      </c>
    </row>
    <row r="10" spans="1:6" x14ac:dyDescent="0.3">
      <c r="A10" t="s">
        <v>208</v>
      </c>
      <c r="B10">
        <f>0.0000097559</f>
        <v>9.7558999999999992E-6</v>
      </c>
      <c r="C10" t="s">
        <v>202</v>
      </c>
      <c r="E10">
        <f>0.0156</f>
        <v>1.5599999999999999E-2</v>
      </c>
      <c r="F10" t="s">
        <v>12</v>
      </c>
    </row>
    <row r="11" spans="1:6" x14ac:dyDescent="0.3">
      <c r="A11" t="s">
        <v>209</v>
      </c>
      <c r="B11">
        <f>0.00004878</f>
        <v>4.8779999999999997E-5</v>
      </c>
      <c r="C11" t="s">
        <v>202</v>
      </c>
      <c r="E11">
        <f>0.0181</f>
        <v>1.8100000000000002E-2</v>
      </c>
      <c r="F11" t="s">
        <v>12</v>
      </c>
    </row>
    <row r="12" spans="1:6" x14ac:dyDescent="0.3">
      <c r="A12" t="s">
        <v>210</v>
      </c>
      <c r="B12">
        <f>0.000023881</f>
        <v>2.3881000000000001E-5</v>
      </c>
      <c r="C12" t="s">
        <v>202</v>
      </c>
      <c r="E12">
        <f>0.0876</f>
        <v>8.7599999999999997E-2</v>
      </c>
      <c r="F12" t="s">
        <v>12</v>
      </c>
    </row>
    <row r="13" spans="1:6" x14ac:dyDescent="0.3">
      <c r="A13" t="s">
        <v>211</v>
      </c>
      <c r="B13">
        <v>1</v>
      </c>
      <c r="C13" t="s">
        <v>5</v>
      </c>
      <c r="E13">
        <f>0.0153</f>
        <v>1.5299999999999999E-2</v>
      </c>
      <c r="F13" t="s">
        <v>12</v>
      </c>
    </row>
    <row r="14" spans="1:6" x14ac:dyDescent="0.3">
      <c r="A14" t="s">
        <v>212</v>
      </c>
      <c r="B14">
        <f>0.057408</f>
        <v>5.7408000000000001E-2</v>
      </c>
      <c r="C14" t="s">
        <v>5</v>
      </c>
      <c r="E14">
        <f>0.0997</f>
        <v>9.9699999999999997E-2</v>
      </c>
      <c r="F14" t="s">
        <v>12</v>
      </c>
    </row>
    <row r="15" spans="1:6" x14ac:dyDescent="0.3">
      <c r="A15" t="s">
        <v>213</v>
      </c>
      <c r="B15">
        <f>0.002378</f>
        <v>2.3779999999999999E-3</v>
      </c>
      <c r="C15" t="s">
        <v>5</v>
      </c>
    </row>
    <row r="16" spans="1:6" x14ac:dyDescent="0.3">
      <c r="A16" t="s">
        <v>214</v>
      </c>
      <c r="B16">
        <f>0.00082272</f>
        <v>8.2271999999999998E-4</v>
      </c>
      <c r="C16" t="s">
        <v>5</v>
      </c>
    </row>
    <row r="17" spans="1:6" x14ac:dyDescent="0.3">
      <c r="A17" t="s">
        <v>215</v>
      </c>
      <c r="B17">
        <f>0.0011361</f>
        <v>1.1360999999999999E-3</v>
      </c>
      <c r="C17" t="s">
        <v>5</v>
      </c>
    </row>
    <row r="18" spans="1:6" x14ac:dyDescent="0.3">
      <c r="A18" t="s">
        <v>216</v>
      </c>
      <c r="B18">
        <f>0.0016933</f>
        <v>1.6933E-3</v>
      </c>
      <c r="C18" t="s">
        <v>5</v>
      </c>
    </row>
    <row r="19" spans="1:6" x14ac:dyDescent="0.3">
      <c r="A19" t="s">
        <v>217</v>
      </c>
      <c r="B19">
        <f>0.0043273</f>
        <v>4.3273000000000001E-3</v>
      </c>
      <c r="C19" t="s">
        <v>5</v>
      </c>
    </row>
    <row r="20" spans="1:6" x14ac:dyDescent="0.3">
      <c r="A20" t="s">
        <v>218</v>
      </c>
      <c r="B20">
        <f>0.0041284</f>
        <v>4.1284E-3</v>
      </c>
      <c r="C20" t="s">
        <v>5</v>
      </c>
      <c r="E20">
        <f>0.592</f>
        <v>0.59199999999999997</v>
      </c>
    </row>
    <row r="21" spans="1:6" x14ac:dyDescent="0.3">
      <c r="A21" t="s">
        <v>219</v>
      </c>
      <c r="B21">
        <v>1.6000000000000001E-4</v>
      </c>
      <c r="C21" t="s">
        <v>5</v>
      </c>
      <c r="D21" t="s">
        <v>220</v>
      </c>
      <c r="E21">
        <f>SUM(E4:E14,E20)</f>
        <v>0.96099999999999997</v>
      </c>
      <c r="F21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3F59-351F-4F25-B4A4-2BFE3CB026C1}">
  <sheetPr codeName="Sheet59"/>
  <dimension ref="A1:C12"/>
  <sheetViews>
    <sheetView workbookViewId="0"/>
  </sheetViews>
  <sheetFormatPr defaultRowHeight="14.4" x14ac:dyDescent="0.3"/>
  <cols>
    <col min="1" max="1" width="37.44140625" customWidth="1"/>
  </cols>
  <sheetData>
    <row r="1" spans="1:3" x14ac:dyDescent="0.3">
      <c r="A1" t="s">
        <v>573</v>
      </c>
    </row>
    <row r="3" spans="1:3" x14ac:dyDescent="0.3">
      <c r="A3" t="s">
        <v>491</v>
      </c>
    </row>
    <row r="4" spans="1:3" x14ac:dyDescent="0.3">
      <c r="A4" t="s">
        <v>574</v>
      </c>
      <c r="B4">
        <v>1</v>
      </c>
      <c r="C4" t="s">
        <v>5</v>
      </c>
    </row>
    <row r="6" spans="1:3" x14ac:dyDescent="0.3">
      <c r="A6" t="s">
        <v>1</v>
      </c>
    </row>
    <row r="7" spans="1:3" x14ac:dyDescent="0.3">
      <c r="A7" t="s">
        <v>575</v>
      </c>
      <c r="B7">
        <v>1.34</v>
      </c>
      <c r="C7" t="s">
        <v>5</v>
      </c>
    </row>
    <row r="8" spans="1:3" x14ac:dyDescent="0.3">
      <c r="A8" s="6" t="s">
        <v>494</v>
      </c>
      <c r="B8" s="6">
        <v>0.45</v>
      </c>
      <c r="C8" t="s">
        <v>10</v>
      </c>
    </row>
    <row r="9" spans="1:3" x14ac:dyDescent="0.3">
      <c r="A9" s="6" t="s">
        <v>576</v>
      </c>
      <c r="B9" s="6">
        <v>3.4</v>
      </c>
      <c r="C9" t="s">
        <v>12</v>
      </c>
    </row>
    <row r="10" spans="1:3" x14ac:dyDescent="0.3">
      <c r="A10" s="6" t="s">
        <v>577</v>
      </c>
      <c r="B10" s="6">
        <f>27</f>
        <v>27</v>
      </c>
      <c r="C10" t="s">
        <v>578</v>
      </c>
    </row>
    <row r="11" spans="1:3" x14ac:dyDescent="0.3">
      <c r="A11" s="6" t="s">
        <v>496</v>
      </c>
      <c r="B11" s="6">
        <v>10.220000000000001</v>
      </c>
      <c r="C11" t="s">
        <v>5</v>
      </c>
    </row>
    <row r="12" spans="1:3" x14ac:dyDescent="0.3">
      <c r="A12" s="6" t="s">
        <v>579</v>
      </c>
      <c r="B12" s="6">
        <v>8.9</v>
      </c>
      <c r="C12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AF35-2ABF-45EE-AD50-2EB76CF5A532}">
  <dimension ref="A1:C74"/>
  <sheetViews>
    <sheetView workbookViewId="0">
      <selection activeCell="G16" sqref="G16"/>
    </sheetView>
  </sheetViews>
  <sheetFormatPr defaultRowHeight="14.4" x14ac:dyDescent="0.3"/>
  <sheetData>
    <row r="1" spans="1:3" x14ac:dyDescent="0.3">
      <c r="A1" t="s">
        <v>651</v>
      </c>
    </row>
    <row r="2" spans="1:3" x14ac:dyDescent="0.3">
      <c r="A2" t="s">
        <v>28</v>
      </c>
    </row>
    <row r="3" spans="1:3" x14ac:dyDescent="0.3">
      <c r="A3" t="s">
        <v>29</v>
      </c>
    </row>
    <row r="4" spans="1:3" x14ac:dyDescent="0.3">
      <c r="A4" t="s">
        <v>28</v>
      </c>
    </row>
    <row r="5" spans="1:3" x14ac:dyDescent="0.3">
      <c r="A5" t="s">
        <v>30</v>
      </c>
      <c r="B5">
        <v>0.24</v>
      </c>
      <c r="C5" t="s">
        <v>5</v>
      </c>
    </row>
    <row r="6" spans="1:3" x14ac:dyDescent="0.3">
      <c r="A6" t="s">
        <v>18</v>
      </c>
      <c r="B6">
        <v>0.24</v>
      </c>
      <c r="C6" t="s">
        <v>5</v>
      </c>
    </row>
    <row r="7" spans="1:3" x14ac:dyDescent="0.3">
      <c r="A7" t="s">
        <v>31</v>
      </c>
      <c r="B7" s="2">
        <v>-1.34E-4</v>
      </c>
      <c r="C7" t="s">
        <v>5</v>
      </c>
    </row>
    <row r="8" spans="1:3" x14ac:dyDescent="0.3">
      <c r="A8" t="s">
        <v>32</v>
      </c>
      <c r="B8">
        <v>65.38</v>
      </c>
      <c r="C8" t="s">
        <v>33</v>
      </c>
    </row>
    <row r="9" spans="1:3" x14ac:dyDescent="0.3">
      <c r="A9" t="s">
        <v>34</v>
      </c>
      <c r="B9">
        <v>0.24</v>
      </c>
      <c r="C9" t="s">
        <v>35</v>
      </c>
    </row>
    <row r="10" spans="1:3" x14ac:dyDescent="0.3">
      <c r="A10" t="s">
        <v>21</v>
      </c>
      <c r="B10">
        <v>1.3</v>
      </c>
      <c r="C10" t="s">
        <v>35</v>
      </c>
    </row>
    <row r="11" spans="1:3" x14ac:dyDescent="0.3">
      <c r="A11" t="s">
        <v>36</v>
      </c>
      <c r="B11">
        <v>92.61</v>
      </c>
      <c r="C11" t="s">
        <v>33</v>
      </c>
    </row>
    <row r="12" spans="1:3" x14ac:dyDescent="0.3">
      <c r="A12" t="s">
        <v>37</v>
      </c>
      <c r="B12">
        <v>80.150000000000006</v>
      </c>
      <c r="C12" t="s">
        <v>33</v>
      </c>
    </row>
    <row r="13" spans="1:3" x14ac:dyDescent="0.3">
      <c r="A13" t="s">
        <v>22</v>
      </c>
      <c r="B13">
        <v>0.79</v>
      </c>
      <c r="C13" t="s">
        <v>35</v>
      </c>
    </row>
    <row r="14" spans="1:3" x14ac:dyDescent="0.3">
      <c r="A14" t="s">
        <v>19</v>
      </c>
      <c r="B14">
        <v>0.62</v>
      </c>
      <c r="C14" t="s">
        <v>35</v>
      </c>
    </row>
    <row r="15" spans="1:3" x14ac:dyDescent="0.3">
      <c r="A15" t="s">
        <v>20</v>
      </c>
      <c r="B15">
        <v>4.8</v>
      </c>
      <c r="C15" t="s">
        <v>33</v>
      </c>
    </row>
    <row r="16" spans="1:3" x14ac:dyDescent="0.3">
      <c r="A16" t="s">
        <v>586</v>
      </c>
      <c r="B16">
        <v>10.199999999999999</v>
      </c>
      <c r="C16" t="s">
        <v>652</v>
      </c>
    </row>
    <row r="17" spans="1:3" x14ac:dyDescent="0.3">
      <c r="A17" t="s">
        <v>23</v>
      </c>
      <c r="B17">
        <v>13.55</v>
      </c>
      <c r="C17" t="s">
        <v>33</v>
      </c>
    </row>
    <row r="18" spans="1:3" x14ac:dyDescent="0.3">
      <c r="A18" t="s">
        <v>38</v>
      </c>
      <c r="B18">
        <v>32.21</v>
      </c>
      <c r="C18" t="s">
        <v>33</v>
      </c>
    </row>
    <row r="19" spans="1:3" x14ac:dyDescent="0.3">
      <c r="A19" t="s">
        <v>39</v>
      </c>
    </row>
    <row r="20" spans="1:3" x14ac:dyDescent="0.3">
      <c r="A20" t="s">
        <v>41</v>
      </c>
      <c r="B20">
        <v>0.26</v>
      </c>
      <c r="C20" t="s">
        <v>5</v>
      </c>
    </row>
    <row r="21" spans="1:3" x14ac:dyDescent="0.3">
      <c r="A21" t="s">
        <v>42</v>
      </c>
    </row>
    <row r="22" spans="1:3" x14ac:dyDescent="0.3">
      <c r="A22" t="s">
        <v>43</v>
      </c>
      <c r="B22">
        <v>0</v>
      </c>
      <c r="C22" t="s">
        <v>44</v>
      </c>
    </row>
    <row r="23" spans="1:3" x14ac:dyDescent="0.3">
      <c r="A23" t="s">
        <v>45</v>
      </c>
    </row>
    <row r="24" spans="1:3" x14ac:dyDescent="0.3">
      <c r="A24" t="s">
        <v>29</v>
      </c>
    </row>
    <row r="25" spans="1:3" x14ac:dyDescent="0.3">
      <c r="A25" t="s">
        <v>45</v>
      </c>
      <c r="B25">
        <v>3514</v>
      </c>
      <c r="C25" t="s">
        <v>46</v>
      </c>
    </row>
    <row r="26" spans="1:3" x14ac:dyDescent="0.3">
      <c r="A26" t="s">
        <v>47</v>
      </c>
      <c r="B26">
        <v>2137.29</v>
      </c>
      <c r="C26" t="s">
        <v>48</v>
      </c>
    </row>
    <row r="27" spans="1:3" x14ac:dyDescent="0.3">
      <c r="A27" t="s">
        <v>52</v>
      </c>
      <c r="B27">
        <v>1810.99</v>
      </c>
      <c r="C27" t="s">
        <v>48</v>
      </c>
    </row>
    <row r="28" spans="1:3" x14ac:dyDescent="0.3">
      <c r="A28" t="s">
        <v>50</v>
      </c>
      <c r="B28">
        <v>120.29</v>
      </c>
      <c r="C28" t="s">
        <v>48</v>
      </c>
    </row>
    <row r="29" spans="1:3" x14ac:dyDescent="0.3">
      <c r="A29" t="s">
        <v>49</v>
      </c>
      <c r="B29">
        <v>119.74</v>
      </c>
      <c r="C29" t="s">
        <v>48</v>
      </c>
    </row>
    <row r="30" spans="1:3" x14ac:dyDescent="0.3">
      <c r="A30" t="s">
        <v>51</v>
      </c>
      <c r="B30">
        <v>86.27</v>
      </c>
      <c r="C30" t="s">
        <v>48</v>
      </c>
    </row>
    <row r="31" spans="1:3" x14ac:dyDescent="0.3">
      <c r="A31" t="s">
        <v>53</v>
      </c>
      <c r="B31">
        <v>814.1</v>
      </c>
      <c r="C31" t="s">
        <v>46</v>
      </c>
    </row>
    <row r="32" spans="1:3" x14ac:dyDescent="0.3">
      <c r="A32" t="s">
        <v>54</v>
      </c>
      <c r="B32">
        <v>1543</v>
      </c>
      <c r="C32" t="s">
        <v>46</v>
      </c>
    </row>
    <row r="33" spans="1:3" x14ac:dyDescent="0.3">
      <c r="A33" t="s">
        <v>55</v>
      </c>
      <c r="B33">
        <v>690.1</v>
      </c>
      <c r="C33" t="s">
        <v>46</v>
      </c>
    </row>
    <row r="34" spans="1:3" x14ac:dyDescent="0.3">
      <c r="A34" t="s">
        <v>56</v>
      </c>
      <c r="B34">
        <v>2899.78</v>
      </c>
      <c r="C34" t="s">
        <v>58</v>
      </c>
    </row>
    <row r="35" spans="1:3" x14ac:dyDescent="0.3">
      <c r="A35" t="s">
        <v>57</v>
      </c>
      <c r="B35">
        <v>1562.12</v>
      </c>
      <c r="C35" t="s">
        <v>58</v>
      </c>
    </row>
    <row r="36" spans="1:3" x14ac:dyDescent="0.3">
      <c r="A36" t="s">
        <v>59</v>
      </c>
      <c r="B36">
        <v>2020.26</v>
      </c>
      <c r="C36" t="s">
        <v>58</v>
      </c>
    </row>
    <row r="37" spans="1:3" x14ac:dyDescent="0.3">
      <c r="A37" t="s">
        <v>60</v>
      </c>
      <c r="B37">
        <v>0.79</v>
      </c>
      <c r="C37" t="s">
        <v>33</v>
      </c>
    </row>
    <row r="38" spans="1:3" x14ac:dyDescent="0.3">
      <c r="A38" t="s">
        <v>61</v>
      </c>
      <c r="B38">
        <v>25.82</v>
      </c>
      <c r="C38" t="s">
        <v>46</v>
      </c>
    </row>
    <row r="39" spans="1:3" x14ac:dyDescent="0.3">
      <c r="A39" t="s">
        <v>62</v>
      </c>
      <c r="B39">
        <v>83.01</v>
      </c>
      <c r="C39" t="s">
        <v>46</v>
      </c>
    </row>
    <row r="40" spans="1:3" x14ac:dyDescent="0.3">
      <c r="A40" t="s">
        <v>63</v>
      </c>
      <c r="B40">
        <v>1735.32</v>
      </c>
      <c r="C40" t="s">
        <v>58</v>
      </c>
    </row>
    <row r="41" spans="1:3" x14ac:dyDescent="0.3">
      <c r="A41" t="s">
        <v>64</v>
      </c>
      <c r="B41">
        <v>2302.7800000000002</v>
      </c>
      <c r="C41" t="s">
        <v>58</v>
      </c>
    </row>
    <row r="42" spans="1:3" x14ac:dyDescent="0.3">
      <c r="A42" t="s">
        <v>65</v>
      </c>
      <c r="B42">
        <v>19.52</v>
      </c>
      <c r="C42" t="s">
        <v>46</v>
      </c>
    </row>
    <row r="43" spans="1:3" x14ac:dyDescent="0.3">
      <c r="A43" t="s">
        <v>66</v>
      </c>
      <c r="B43">
        <v>131.91999999999999</v>
      </c>
      <c r="C43" t="s">
        <v>46</v>
      </c>
    </row>
    <row r="44" spans="1:3" x14ac:dyDescent="0.3">
      <c r="A44" t="s">
        <v>67</v>
      </c>
      <c r="B44">
        <v>89.13</v>
      </c>
      <c r="C44" t="s">
        <v>46</v>
      </c>
    </row>
    <row r="45" spans="1:3" x14ac:dyDescent="0.3">
      <c r="A45" t="s">
        <v>68</v>
      </c>
      <c r="B45">
        <v>107.24</v>
      </c>
      <c r="C45" t="s">
        <v>46</v>
      </c>
    </row>
    <row r="46" spans="1:3" x14ac:dyDescent="0.3">
      <c r="A46" t="s">
        <v>39</v>
      </c>
      <c r="B46" t="s">
        <v>69</v>
      </c>
    </row>
    <row r="47" spans="1:3" x14ac:dyDescent="0.3">
      <c r="A47" t="s">
        <v>70</v>
      </c>
      <c r="B47">
        <v>3377</v>
      </c>
      <c r="C47" t="s">
        <v>46</v>
      </c>
    </row>
    <row r="48" spans="1:3" x14ac:dyDescent="0.3">
      <c r="A48" t="s">
        <v>72</v>
      </c>
      <c r="B48">
        <v>1543</v>
      </c>
      <c r="C48" t="s">
        <v>46</v>
      </c>
    </row>
    <row r="49" spans="1:3" x14ac:dyDescent="0.3">
      <c r="A49" t="s">
        <v>76</v>
      </c>
      <c r="B49">
        <v>1144</v>
      </c>
      <c r="C49" t="s">
        <v>46</v>
      </c>
    </row>
    <row r="50" spans="1:3" x14ac:dyDescent="0.3">
      <c r="A50" t="s">
        <v>71</v>
      </c>
      <c r="B50">
        <v>690.1</v>
      </c>
      <c r="C50" t="s">
        <v>46</v>
      </c>
    </row>
    <row r="51" spans="1:3" x14ac:dyDescent="0.3">
      <c r="A51" t="s">
        <v>73</v>
      </c>
      <c r="B51">
        <v>137.30000000000001</v>
      </c>
      <c r="C51" t="s">
        <v>46</v>
      </c>
    </row>
    <row r="52" spans="1:3" x14ac:dyDescent="0.3">
      <c r="A52" t="s">
        <v>74</v>
      </c>
      <c r="B52">
        <v>83.01</v>
      </c>
      <c r="C52" t="s">
        <v>46</v>
      </c>
    </row>
    <row r="53" spans="1:3" x14ac:dyDescent="0.3">
      <c r="A53" t="s">
        <v>75</v>
      </c>
      <c r="B53">
        <v>54.29</v>
      </c>
      <c r="C53" t="s">
        <v>46</v>
      </c>
    </row>
    <row r="54" spans="1:3" x14ac:dyDescent="0.3">
      <c r="A54" t="s">
        <v>77</v>
      </c>
      <c r="B54">
        <v>2899.78</v>
      </c>
      <c r="C54" t="s">
        <v>58</v>
      </c>
    </row>
    <row r="55" spans="1:3" x14ac:dyDescent="0.3">
      <c r="A55" t="s">
        <v>79</v>
      </c>
      <c r="B55">
        <v>2137.29</v>
      </c>
      <c r="C55" t="s">
        <v>48</v>
      </c>
    </row>
    <row r="56" spans="1:3" x14ac:dyDescent="0.3">
      <c r="A56" t="s">
        <v>78</v>
      </c>
    </row>
    <row r="57" spans="1:3" x14ac:dyDescent="0.3">
      <c r="A57" t="s">
        <v>29</v>
      </c>
    </row>
    <row r="58" spans="1:3" x14ac:dyDescent="0.3">
      <c r="A58" t="s">
        <v>28</v>
      </c>
    </row>
    <row r="59" spans="1:3" x14ac:dyDescent="0.3">
      <c r="A59" t="s">
        <v>30</v>
      </c>
      <c r="B59">
        <v>25.41</v>
      </c>
      <c r="C59" t="s">
        <v>35</v>
      </c>
    </row>
    <row r="60" spans="1:3" x14ac:dyDescent="0.3">
      <c r="A60" t="s">
        <v>18</v>
      </c>
      <c r="B60">
        <v>25.44</v>
      </c>
      <c r="C60" t="s">
        <v>35</v>
      </c>
    </row>
    <row r="61" spans="1:3" x14ac:dyDescent="0.3">
      <c r="A61" t="s">
        <v>31</v>
      </c>
      <c r="B61" s="2">
        <v>-3.0599999999999998E-5</v>
      </c>
      <c r="C61" t="s">
        <v>5</v>
      </c>
    </row>
    <row r="62" spans="1:3" x14ac:dyDescent="0.3">
      <c r="A62" t="s">
        <v>32</v>
      </c>
      <c r="B62">
        <v>5.4</v>
      </c>
      <c r="C62" t="s">
        <v>33</v>
      </c>
    </row>
    <row r="63" spans="1:3" x14ac:dyDescent="0.3">
      <c r="A63" t="s">
        <v>34</v>
      </c>
      <c r="B63">
        <v>13.42</v>
      </c>
      <c r="C63" t="s">
        <v>33</v>
      </c>
    </row>
    <row r="64" spans="1:3" x14ac:dyDescent="0.3">
      <c r="A64" t="s">
        <v>21</v>
      </c>
      <c r="B64">
        <v>64.62</v>
      </c>
      <c r="C64" t="s">
        <v>33</v>
      </c>
    </row>
    <row r="65" spans="1:3" x14ac:dyDescent="0.3">
      <c r="A65" t="s">
        <v>36</v>
      </c>
      <c r="B65">
        <v>5.28</v>
      </c>
      <c r="C65" t="s">
        <v>33</v>
      </c>
    </row>
    <row r="66" spans="1:3" x14ac:dyDescent="0.3">
      <c r="A66" t="s">
        <v>37</v>
      </c>
      <c r="B66">
        <v>4.42</v>
      </c>
      <c r="C66" t="s">
        <v>33</v>
      </c>
    </row>
    <row r="67" spans="1:3" x14ac:dyDescent="0.3">
      <c r="A67" t="s">
        <v>22</v>
      </c>
      <c r="B67">
        <v>67.13</v>
      </c>
      <c r="C67" t="s">
        <v>33</v>
      </c>
    </row>
    <row r="68" spans="1:3" x14ac:dyDescent="0.3">
      <c r="A68" t="s">
        <v>19</v>
      </c>
      <c r="B68">
        <v>19.510000000000002</v>
      </c>
      <c r="C68" t="s">
        <v>33</v>
      </c>
    </row>
    <row r="69" spans="1:3" x14ac:dyDescent="0.3">
      <c r="A69" t="s">
        <v>20</v>
      </c>
      <c r="B69">
        <v>0.56000000000000005</v>
      </c>
      <c r="C69" t="s">
        <v>33</v>
      </c>
    </row>
    <row r="70" spans="1:3" x14ac:dyDescent="0.3">
      <c r="A70" t="s">
        <v>586</v>
      </c>
      <c r="B70">
        <v>0</v>
      </c>
      <c r="C70" t="s">
        <v>5</v>
      </c>
    </row>
    <row r="71" spans="1:3" x14ac:dyDescent="0.3">
      <c r="A71" t="s">
        <v>23</v>
      </c>
      <c r="B71">
        <v>0.55000000000000004</v>
      </c>
      <c r="C71" t="s">
        <v>33</v>
      </c>
    </row>
    <row r="72" spans="1:3" x14ac:dyDescent="0.3">
      <c r="A72" t="s">
        <v>38</v>
      </c>
      <c r="B72">
        <v>1.63</v>
      </c>
      <c r="C72" t="s">
        <v>33</v>
      </c>
    </row>
    <row r="73" spans="1:3" x14ac:dyDescent="0.3">
      <c r="A73" t="s">
        <v>39</v>
      </c>
    </row>
    <row r="74" spans="1:3" x14ac:dyDescent="0.3">
      <c r="A74" t="s">
        <v>41</v>
      </c>
      <c r="B74">
        <v>26.19</v>
      </c>
      <c r="C74" t="s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E76C-6581-4B72-81A6-AD46813F04E7}">
  <sheetPr codeName="Sheet32"/>
  <dimension ref="A1:H7"/>
  <sheetViews>
    <sheetView workbookViewId="0">
      <selection activeCell="B6" sqref="B6"/>
    </sheetView>
  </sheetViews>
  <sheetFormatPr defaultRowHeight="14.4" x14ac:dyDescent="0.3"/>
  <cols>
    <col min="1" max="1" width="23.6640625" customWidth="1"/>
    <col min="2" max="2" width="11" bestFit="1" customWidth="1"/>
    <col min="3" max="4" width="12" bestFit="1" customWidth="1"/>
    <col min="5" max="5" width="11" bestFit="1" customWidth="1"/>
    <col min="6" max="8" width="12" bestFit="1" customWidth="1"/>
  </cols>
  <sheetData>
    <row r="1" spans="1:8" x14ac:dyDescent="0.3">
      <c r="A1" s="7" t="s">
        <v>497</v>
      </c>
    </row>
    <row r="2" spans="1:8" x14ac:dyDescent="0.3">
      <c r="A2" s="8" t="s">
        <v>498</v>
      </c>
      <c r="B2" t="s">
        <v>446</v>
      </c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</row>
    <row r="3" spans="1:8" x14ac:dyDescent="0.3">
      <c r="A3" t="s">
        <v>493</v>
      </c>
      <c r="B3" s="2">
        <f>Sunflower_Results!C20/SunflowerOil_inputs_Schmidt!$B$4</f>
        <v>0.91616880487803443</v>
      </c>
      <c r="C3" s="2">
        <f>Sunflower_Results!D20/SunflowerOil_inputs_Schmidt!$B$4</f>
        <v>2.0013986457537683E-3</v>
      </c>
      <c r="D3" s="2">
        <f>Sunflower_Results!E20/SunflowerOil_inputs_Schmidt!$B$4</f>
        <v>1.0139518160824648E-4</v>
      </c>
      <c r="E3" s="2">
        <f>Sunflower_Results!F20/SunflowerOil_inputs_Schmidt!$B$4</f>
        <v>9.9047013727481936E-4</v>
      </c>
      <c r="F3" s="2">
        <f>Sunflower_Results!G20/SunflowerOil_inputs_Schmidt!$B$4</f>
        <v>1.5699199352237723E-3</v>
      </c>
      <c r="G3" s="2">
        <f>Sunflower_Results!H20/SunflowerOil_inputs_Schmidt!$B$4</f>
        <v>6.2442692316117301E-6</v>
      </c>
      <c r="H3" s="2">
        <f>Sunflower_Results!I20/SunflowerOil_inputs_Schmidt!$B$4</f>
        <v>1.3674566923476395E-5</v>
      </c>
    </row>
    <row r="4" spans="1:8" x14ac:dyDescent="0.3">
      <c r="A4" s="6" t="s">
        <v>494</v>
      </c>
      <c r="B4" s="2">
        <f>SunflowerOil_inputs_Schmidt!B8/SunflowerOil_inputs_Schmidt!B4*'Electricity US Mix_GREET'!H5</f>
        <v>4.804347826086957E-2</v>
      </c>
      <c r="C4" s="2">
        <f>SunflowerOil_inputs_Schmidt!B8/SunflowerOil_inputs_Schmidt!B4*'Electricity US Mix_GREET'!H14*10^-3</f>
        <v>9.2318840579710146E-5</v>
      </c>
      <c r="D4" s="2">
        <f>SunflowerOil_inputs_Schmidt!B8/SunflowerOil_inputs_Schmidt!B4*'Electricity US Mix_GREET'!H15*10^-6</f>
        <v>7.5739130434782598E-7</v>
      </c>
      <c r="E4" s="2">
        <f>SunflowerOil_inputs_Schmidt!B8/SunflowerOil_inputs_Schmidt!B4*'Electricity US Mix_GREET'!H10*10^-3</f>
        <v>3.3913043478260873E-5</v>
      </c>
      <c r="F4" s="2">
        <f>SunflowerOil_inputs_Schmidt!B8/SunflowerOil_inputs_Schmidt!B4*'Electricity US Mix_GREET'!H13*10^-3</f>
        <v>8.8550724637681156E-5</v>
      </c>
      <c r="G4" s="2">
        <f>SunflowerOil_inputs_Schmidt!B8/SunflowerOil_inputs_Schmidt!B4*'Electricity US Mix_GREET'!H16*10^-6</f>
        <v>2.1478260869565215E-7</v>
      </c>
      <c r="H4" s="2">
        <f>SunflowerOil_inputs_Schmidt!B8/SunflowerOil_inputs_Schmidt!B4*'Electricity US Mix_GREET'!H17*10^-6</f>
        <v>4.917391304347826E-7</v>
      </c>
    </row>
    <row r="5" spans="1:8" x14ac:dyDescent="0.3">
      <c r="A5" s="6" t="s">
        <v>495</v>
      </c>
      <c r="B5" s="2">
        <f>SunflowerOil_inputs_Schmidt!$B$9/SunflowerOil_inputs_Schmidt!$B$4*'HD Truck_GREET'!B5</f>
        <v>2.2314009661835752E-2</v>
      </c>
      <c r="C5" s="2">
        <f>SunflowerOil_inputs_Schmidt!$B$9/SunflowerOil_inputs_Schmidt!$B$4*'HD Truck_GREET'!C5</f>
        <v>8.7922705314009668E-7</v>
      </c>
      <c r="D5" s="2">
        <f>SunflowerOil_inputs_Schmidt!$B$9/SunflowerOil_inputs_Schmidt!$B$4*'HD Truck_GREET'!D5</f>
        <v>3.5995169082125611E-8</v>
      </c>
      <c r="E5" s="2">
        <f>SunflowerOil_inputs_Schmidt!$B$9/SunflowerOil_inputs_Schmidt!$B$4*'HD Truck_GREET'!E5</f>
        <v>2.0768115942028986E-5</v>
      </c>
      <c r="F5" s="2">
        <f>SunflowerOil_inputs_Schmidt!$B$9/SunflowerOil_inputs_Schmidt!$B$4*'HD Truck_GREET'!F5</f>
        <v>2.1335381406857553E-7</v>
      </c>
      <c r="G5" s="2">
        <f>SunflowerOil_inputs_Schmidt!$B$9/SunflowerOil_inputs_Schmidt!$B$4*'HD Truck_GREET'!G5</f>
        <v>3.8333333333333339E-8</v>
      </c>
      <c r="H5" s="2">
        <f>SunflowerOil_inputs_Schmidt!$B$9/SunflowerOil_inputs_Schmidt!$B$4*'HD Truck_GREET'!H5</f>
        <v>6.7632850241545903E-8</v>
      </c>
    </row>
    <row r="6" spans="1:8" x14ac:dyDescent="0.3">
      <c r="A6" s="6" t="s">
        <v>496</v>
      </c>
      <c r="B6" s="2">
        <f>SunflowerOil_inputs_Schmidt!$B$10*Tapwater_results!B10</f>
        <v>9.2622979544870027E-6</v>
      </c>
      <c r="C6" s="2">
        <f>SunflowerOil_inputs_Schmidt!$B$10*Tapwater_results!C10</f>
        <v>1.7721573479745999E-8</v>
      </c>
      <c r="D6" s="2">
        <f>SunflowerOil_inputs_Schmidt!$B$10*Tapwater_results!D10</f>
        <v>1.5470899293818299E-10</v>
      </c>
      <c r="E6" s="2">
        <f>SunflowerOil_inputs_Schmidt!$B$10*Tapwater_results!E10</f>
        <v>6.632360255767E-9</v>
      </c>
      <c r="F6" s="2">
        <f>SunflowerOil_inputs_Schmidt!$B$10*Tapwater_results!F10</f>
        <v>1.6990306762920074E-8</v>
      </c>
      <c r="G6" s="2">
        <f>SunflowerOil_inputs_Schmidt!$B$10*Tapwater_results!G10</f>
        <v>4.3084834870794984E-11</v>
      </c>
      <c r="H6" s="2">
        <f>SunflowerOil_inputs_Schmidt!$B$10*Tapwater_results!H10</f>
        <v>9.5279520362960003E-11</v>
      </c>
    </row>
    <row r="7" spans="1:8" x14ac:dyDescent="0.3">
      <c r="A7" s="6" t="s">
        <v>453</v>
      </c>
      <c r="B7" s="2">
        <f>SUM(B3:B6)</f>
        <v>0.98653555509869417</v>
      </c>
      <c r="C7" s="2">
        <f t="shared" ref="C7:H7" si="0">SUM(C3:C6)</f>
        <v>2.0946144349600986E-3</v>
      </c>
      <c r="D7" s="2">
        <f t="shared" si="0"/>
        <v>1.0218872279066938E-4</v>
      </c>
      <c r="E7" s="2">
        <f t="shared" si="0"/>
        <v>1.0451579290553651E-3</v>
      </c>
      <c r="F7" s="2">
        <f t="shared" si="0"/>
        <v>1.6587010039822848E-3</v>
      </c>
      <c r="G7" s="2">
        <f t="shared" si="0"/>
        <v>6.4974282584755866E-6</v>
      </c>
      <c r="H7" s="2">
        <f t="shared" si="0"/>
        <v>1.4234034183673085E-5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C48C-F06C-4A68-BC77-55D2A522818A}">
  <sheetPr codeName="Sheet31"/>
  <dimension ref="A1:C10"/>
  <sheetViews>
    <sheetView workbookViewId="0">
      <selection activeCell="C5" sqref="C5:H5"/>
    </sheetView>
  </sheetViews>
  <sheetFormatPr defaultRowHeight="14.4" x14ac:dyDescent="0.3"/>
  <cols>
    <col min="1" max="1" width="37.44140625" customWidth="1"/>
  </cols>
  <sheetData>
    <row r="1" spans="1:3" x14ac:dyDescent="0.3">
      <c r="A1" t="s">
        <v>490</v>
      </c>
    </row>
    <row r="3" spans="1:3" x14ac:dyDescent="0.3">
      <c r="A3" t="s">
        <v>491</v>
      </c>
    </row>
    <row r="4" spans="1:3" x14ac:dyDescent="0.3">
      <c r="A4" t="s">
        <v>492</v>
      </c>
      <c r="B4">
        <v>0.41399999999999998</v>
      </c>
      <c r="C4" t="s">
        <v>5</v>
      </c>
    </row>
    <row r="6" spans="1:3" x14ac:dyDescent="0.3">
      <c r="A6" t="s">
        <v>1</v>
      </c>
    </row>
    <row r="7" spans="1:3" x14ac:dyDescent="0.3">
      <c r="A7" t="s">
        <v>493</v>
      </c>
      <c r="B7">
        <v>1</v>
      </c>
      <c r="C7" t="s">
        <v>5</v>
      </c>
    </row>
    <row r="8" spans="1:3" x14ac:dyDescent="0.3">
      <c r="A8" s="6" t="s">
        <v>494</v>
      </c>
      <c r="B8" s="6">
        <v>3.9E-2</v>
      </c>
      <c r="C8" t="s">
        <v>10</v>
      </c>
    </row>
    <row r="9" spans="1:3" x14ac:dyDescent="0.3">
      <c r="A9" s="6" t="s">
        <v>495</v>
      </c>
      <c r="B9" s="6">
        <v>0.2</v>
      </c>
      <c r="C9" t="s">
        <v>16</v>
      </c>
    </row>
    <row r="10" spans="1:3" x14ac:dyDescent="0.3">
      <c r="A10" s="6" t="s">
        <v>496</v>
      </c>
      <c r="B10" s="6">
        <v>4.1000000000000002E-2</v>
      </c>
      <c r="C1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Wheat-mix batter_results</vt:lpstr>
      <vt:lpstr>Wheat-mix batter_Vazquez-Rowe</vt:lpstr>
      <vt:lpstr>Wheat_flour_results</vt:lpstr>
      <vt:lpstr>Wheat_flour_Simapro</vt:lpstr>
      <vt:lpstr>Wheat_starch_results</vt:lpstr>
      <vt:lpstr>WheatStarch_Narayanaswamy</vt:lpstr>
      <vt:lpstr>Salt_GREET</vt:lpstr>
      <vt:lpstr>SunflowerOil_Results</vt:lpstr>
      <vt:lpstr>SunflowerOil_inputs_Schmidt</vt:lpstr>
      <vt:lpstr>Tapwater_results</vt:lpstr>
      <vt:lpstr>Tapwater_input_output_Simapro</vt:lpstr>
      <vt:lpstr>Bleached kraft paper results</vt:lpstr>
      <vt:lpstr>Bleached kraft paper_Simapro</vt:lpstr>
      <vt:lpstr>Electricity US Mix_GREET</vt:lpstr>
      <vt:lpstr>NG_production_GREET</vt:lpstr>
      <vt:lpstr>Plastics_mix_GREET</vt:lpstr>
      <vt:lpstr>Biogas_GREET</vt:lpstr>
      <vt:lpstr>Steam_heat_GREET</vt:lpstr>
      <vt:lpstr>Sunflower_Results</vt:lpstr>
      <vt:lpstr>Sunflower_AtFarm_inputs_Simapro</vt:lpstr>
      <vt:lpstr>Hydrogen_peroxide_GREET</vt:lpstr>
      <vt:lpstr>Chlorine_GREET</vt:lpstr>
      <vt:lpstr>Charcoal_GREET</vt:lpstr>
      <vt:lpstr>Ozone_inputs_outputs_Simapro</vt:lpstr>
      <vt:lpstr>Ozone_results</vt:lpstr>
      <vt:lpstr>Potato starch results</vt:lpstr>
      <vt:lpstr>Potato starch inputs_Simapro</vt:lpstr>
      <vt:lpstr>Kaolin_GREET</vt:lpstr>
      <vt:lpstr>Sodium sulfate_GREET</vt:lpstr>
      <vt:lpstr>Freight_rail_GREET</vt:lpstr>
      <vt:lpstr>HD Truck_GREET</vt:lpstr>
      <vt:lpstr>Oil-fired electricity_GREET</vt:lpstr>
      <vt:lpstr>NG-fired electricity_GREET</vt:lpstr>
      <vt:lpstr>Potassium_GREET</vt:lpstr>
      <vt:lpstr>Nitrogen, average_GREET</vt:lpstr>
      <vt:lpstr>BreadWheat_results</vt:lpstr>
      <vt:lpstr>BreadWheat_Simapro</vt:lpstr>
      <vt:lpstr>Diesel building maching_GREET</vt:lpstr>
      <vt:lpstr>Engine Oil_GREET</vt:lpstr>
      <vt:lpstr>Ammonium sulfate_GREET</vt:lpstr>
      <vt:lpstr>Phosphoric rock_GREET</vt:lpstr>
      <vt:lpstr>Triple superphosphate_GREET</vt:lpstr>
      <vt:lpstr>Phosphoric acid_GREET</vt:lpstr>
      <vt:lpstr>Container ship_GREET</vt:lpstr>
      <vt:lpstr>Canola oil_GREET</vt:lpstr>
      <vt:lpstr>Grain drying_Results</vt:lpstr>
      <vt:lpstr>Grain drying inputs_Simapro</vt:lpstr>
      <vt:lpstr>Pesticides_GREET</vt:lpstr>
      <vt:lpstr>Potassium chloride_GREET</vt:lpstr>
      <vt:lpstr>Diammonium phosphate_GREET</vt:lpstr>
      <vt:lpstr>Ammonium nitrate_GREET</vt:lpstr>
      <vt:lpstr>Urea_GREET</vt:lpstr>
      <vt:lpstr>Ammonia production_GREET</vt:lpstr>
      <vt:lpstr>Potatoes at farm_results</vt:lpstr>
      <vt:lpstr>Potatoes at farm_inputs_Simapro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McKuin</dc:creator>
  <cp:lastModifiedBy>Brandi McKuin</cp:lastModifiedBy>
  <dcterms:created xsi:type="dcterms:W3CDTF">2019-10-03T03:14:46Z</dcterms:created>
  <dcterms:modified xsi:type="dcterms:W3CDTF">2019-10-03T17:59:40Z</dcterms:modified>
</cp:coreProperties>
</file>