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07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ystuart/Library/CloudStorage/Dropbox/Loyola/Projects/NuclearDaphnia/d_BioRXiv_NSFReports/DataDryadFiles/"/>
    </mc:Choice>
  </mc:AlternateContent>
  <xr:revisionPtr revIDLastSave="0" documentId="13_ncr:1_{C99C5D32-A2DD-C143-B42C-B821030B852B}" xr6:coauthVersionLast="47" xr6:coauthVersionMax="47" xr10:uidLastSave="{00000000-0000-0000-0000-000000000000}"/>
  <bookViews>
    <workbookView xWindow="-50860" yWindow="-4020" windowWidth="34180" windowHeight="26500" tabRatio="500" xr2:uid="{00000000-000D-0000-FFFF-FFFF00000000}"/>
  </bookViews>
  <sheets>
    <sheet name="Raw Data" sheetId="1" r:id="rId1"/>
    <sheet name="Background" sheetId="2" r:id="rId2"/>
    <sheet name="Dating" sheetId="5" r:id="rId3"/>
    <sheet name="Gamma" sheetId="6" r:id="rId4"/>
    <sheet name="Rho" sheetId="4" r:id="rId5"/>
  </sheets>
  <definedNames>
    <definedName name="_Act209">4.109</definedName>
    <definedName name="_Nu2">28</definedName>
    <definedName name="Aext" localSheetId="2">Dating!$M$32</definedName>
    <definedName name="Aext">#REF!</definedName>
    <definedName name="Ao" localSheetId="2">Dating!$A$11</definedName>
    <definedName name="Ao">#REF!</definedName>
    <definedName name="back209">{0.00171;0.00084;0.00239;0.00123;0.00161;0.0011;0.00065;0.0029;0.00123;0.001;0.00117;0.00111;0.00217;0.0024;0.00211;0.00281;0.00054;0.00049;0.00076;0.00044;0.00027;0.00049;0.00071;0.00065}</definedName>
    <definedName name="back210">{0.00063;0.00045;0;0.00013;0.00013;0.00019;0.00013;0.00006;0.00023;0.00035;0.00029;0.00041;0.00035;0.00035;0.00029;0.00012;0.00011;0.00005;0.00044;0.00005;0.00038;0.00005;0.00022;0.00016}</definedName>
    <definedName name="Cext" localSheetId="2">Dating!$J$42</definedName>
    <definedName name="Cext">#REF!</definedName>
    <definedName name="Ci" localSheetId="2">Dating!$M$76:$M$82</definedName>
    <definedName name="Ci">#REF!</definedName>
    <definedName name="Co" localSheetId="2">Dating!$J$5</definedName>
    <definedName name="Co">#REF!</definedName>
    <definedName name="Coring_Date">42543</definedName>
    <definedName name="Count_Date">42768</definedName>
    <definedName name="_xlnm.Criteria" localSheetId="2">Dating!$B$1:$T$2</definedName>
    <definedName name="Cs" localSheetId="2">Dating!$A$8</definedName>
    <definedName name="Cs">#REF!</definedName>
    <definedName name="_xlnm.Database" localSheetId="2">Dating!$B$3:$T$74</definedName>
    <definedName name="dCs" localSheetId="2">Dating!$A$9</definedName>
    <definedName name="dCs">#REF!</definedName>
    <definedName name="delAo" localSheetId="2">Dating!$P$4</definedName>
    <definedName name="delAo">#REF!</definedName>
    <definedName name="efficiency">{15.98;15.44;15.61;15.96;17.37;16.36;16.3;15.46;16.2;16.17;16.47;16.02;15.64;15.51;15.7;16.25;15.59;15.37;15.61;15.61;15.69;15.66;16.01;15.6}</definedName>
    <definedName name="k">0.03114</definedName>
    <definedName name="Lext" localSheetId="2">Dating!$I$42</definedName>
    <definedName name="Lext">#REF!</definedName>
    <definedName name="Li" localSheetId="2">Dating!$L$76:$L$82</definedName>
    <definedName name="Li">#REF!</definedName>
    <definedName name="Lmax" localSheetId="2">Dating!$I$32</definedName>
    <definedName name="Lmax">#REF!</definedName>
    <definedName name="mb">{-0.330491711630193,1.83235879993218}</definedName>
    <definedName name="Nf">20</definedName>
    <definedName name="Nr">7</definedName>
    <definedName name="Ns">5</definedName>
    <definedName name="Nt">20</definedName>
    <definedName name="Nu">15</definedName>
    <definedName name="_xlnm.Print_Area" localSheetId="2">Dating!$V$1:$AI$36</definedName>
    <definedName name="_xlnm.Print_Area" localSheetId="0">'Raw Data'!$C$1:$V$21</definedName>
    <definedName name="_xlnm.Print_Titles" localSheetId="0">'Raw Data'!$B:$B</definedName>
    <definedName name="Ref">42673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2" i="5" l="1"/>
  <c r="L32" i="5" s="1"/>
  <c r="M31" i="5" s="1"/>
  <c r="E31" i="5"/>
  <c r="D31" i="5"/>
  <c r="H31" i="5"/>
  <c r="J30" i="5"/>
  <c r="L30" i="5" s="1"/>
  <c r="E29" i="5"/>
  <c r="D29" i="5"/>
  <c r="H29" i="5"/>
  <c r="J28" i="5"/>
  <c r="L28" i="5" s="1"/>
  <c r="E27" i="5"/>
  <c r="D27" i="5"/>
  <c r="C27" i="5"/>
  <c r="F27" i="5" s="1"/>
  <c r="H27" i="5"/>
  <c r="J26" i="5"/>
  <c r="L26" i="5" s="1"/>
  <c r="E25" i="5"/>
  <c r="D25" i="5"/>
  <c r="C25" i="5" s="1"/>
  <c r="F25" i="5" s="1"/>
  <c r="H25" i="5"/>
  <c r="J24" i="5"/>
  <c r="L24" i="5"/>
  <c r="E23" i="5"/>
  <c r="D23" i="5"/>
  <c r="H23" i="5"/>
  <c r="J22" i="5"/>
  <c r="L22" i="5" s="1"/>
  <c r="E21" i="5"/>
  <c r="D21" i="5"/>
  <c r="H21" i="5"/>
  <c r="J20" i="5"/>
  <c r="L20" i="5" s="1"/>
  <c r="E19" i="5"/>
  <c r="D19" i="5"/>
  <c r="C19" i="5"/>
  <c r="F19" i="5" s="1"/>
  <c r="H19" i="5"/>
  <c r="J18" i="5"/>
  <c r="L18" i="5"/>
  <c r="E17" i="5"/>
  <c r="D17" i="5"/>
  <c r="C17" i="5" s="1"/>
  <c r="F17" i="5" s="1"/>
  <c r="H17" i="5"/>
  <c r="J16" i="5"/>
  <c r="L16" i="5"/>
  <c r="J15" i="5"/>
  <c r="L15" i="5" s="1"/>
  <c r="E14" i="5"/>
  <c r="C14" i="5" s="1"/>
  <c r="F14" i="5" s="1"/>
  <c r="D14" i="5"/>
  <c r="H14" i="5"/>
  <c r="J13" i="5"/>
  <c r="L13" i="5"/>
  <c r="E12" i="5"/>
  <c r="D12" i="5"/>
  <c r="C12" i="5"/>
  <c r="F12" i="5" s="1"/>
  <c r="J12" i="5" s="1"/>
  <c r="H12" i="5"/>
  <c r="J11" i="5"/>
  <c r="L11" i="5" s="1"/>
  <c r="E10" i="5"/>
  <c r="D10" i="5"/>
  <c r="C10" i="5"/>
  <c r="F10" i="5"/>
  <c r="H10" i="5"/>
  <c r="J9" i="5"/>
  <c r="L9" i="5" s="1"/>
  <c r="E8" i="5"/>
  <c r="C8" i="5" s="1"/>
  <c r="F8" i="5" s="1"/>
  <c r="G8" i="5" s="1"/>
  <c r="K8" i="5" s="1"/>
  <c r="D8" i="5"/>
  <c r="H8" i="5"/>
  <c r="J7" i="5"/>
  <c r="L7" i="5" s="1"/>
  <c r="E6" i="5"/>
  <c r="D6" i="5"/>
  <c r="H6" i="5"/>
  <c r="J5" i="5"/>
  <c r="L5" i="5"/>
  <c r="I5" i="5"/>
  <c r="K5" i="5"/>
  <c r="K32" i="5"/>
  <c r="K30" i="5"/>
  <c r="K28" i="5"/>
  <c r="K26" i="5"/>
  <c r="K24" i="5"/>
  <c r="K22" i="5"/>
  <c r="K20" i="5"/>
  <c r="K18" i="5"/>
  <c r="K16" i="5"/>
  <c r="K15" i="5"/>
  <c r="K13" i="5"/>
  <c r="K11" i="5"/>
  <c r="K9" i="5"/>
  <c r="K7" i="5"/>
  <c r="Q4" i="5"/>
  <c r="J78" i="5"/>
  <c r="J76" i="5"/>
  <c r="K76" i="5"/>
  <c r="K78" i="5"/>
  <c r="U21" i="1"/>
  <c r="S21" i="1"/>
  <c r="T21" i="1" s="1"/>
  <c r="U20" i="1"/>
  <c r="S20" i="1"/>
  <c r="T20" i="1" s="1"/>
  <c r="U19" i="1"/>
  <c r="S19" i="1"/>
  <c r="T19" i="1" s="1"/>
  <c r="U18" i="1"/>
  <c r="S18" i="1"/>
  <c r="T18" i="1" s="1"/>
  <c r="U17" i="1"/>
  <c r="S17" i="1"/>
  <c r="T17" i="1" s="1"/>
  <c r="U16" i="1"/>
  <c r="S16" i="1"/>
  <c r="T16" i="1" s="1"/>
  <c r="U15" i="1"/>
  <c r="S15" i="1"/>
  <c r="T15" i="1" s="1"/>
  <c r="U14" i="1"/>
  <c r="S14" i="1"/>
  <c r="T14" i="1" s="1"/>
  <c r="U13" i="1"/>
  <c r="S13" i="1"/>
  <c r="T13" i="1" s="1"/>
  <c r="U12" i="1"/>
  <c r="S12" i="1"/>
  <c r="T12" i="1" s="1"/>
  <c r="U2" i="1"/>
  <c r="U3" i="1"/>
  <c r="U4" i="1"/>
  <c r="U5" i="1"/>
  <c r="U6" i="1"/>
  <c r="U7" i="1"/>
  <c r="U8" i="1"/>
  <c r="U9" i="1"/>
  <c r="U10" i="1"/>
  <c r="U11" i="1"/>
  <c r="S2" i="1"/>
  <c r="T2" i="1" s="1"/>
  <c r="S3" i="1"/>
  <c r="T3" i="1" s="1"/>
  <c r="S4" i="1"/>
  <c r="T4" i="1" s="1"/>
  <c r="S5" i="1"/>
  <c r="T5" i="1" s="1"/>
  <c r="S6" i="1"/>
  <c r="T6" i="1" s="1"/>
  <c r="S7" i="1"/>
  <c r="T7" i="1" s="1"/>
  <c r="S8" i="1"/>
  <c r="T8" i="1" s="1"/>
  <c r="S9" i="1"/>
  <c r="T9" i="1" s="1"/>
  <c r="S10" i="1"/>
  <c r="T10" i="1" s="1"/>
  <c r="S11" i="1"/>
  <c r="T11" i="1" s="1"/>
  <c r="C4" i="4"/>
  <c r="E4" i="4" s="1"/>
  <c r="C5" i="4"/>
  <c r="E5" i="4"/>
  <c r="E6" i="4"/>
  <c r="C7" i="4"/>
  <c r="E7" i="4" s="1"/>
  <c r="C8" i="4"/>
  <c r="E8" i="4"/>
  <c r="C10" i="4"/>
  <c r="E10" i="4"/>
  <c r="C12" i="4"/>
  <c r="E12" i="4" s="1"/>
  <c r="C15" i="4"/>
  <c r="E15" i="4" s="1"/>
  <c r="C6" i="4"/>
  <c r="C9" i="4"/>
  <c r="E9" i="4" s="1"/>
  <c r="C11" i="4"/>
  <c r="E11" i="4" s="1"/>
  <c r="C13" i="4"/>
  <c r="E13" i="4" s="1"/>
  <c r="C14" i="4"/>
  <c r="E14" i="4" s="1"/>
  <c r="C17" i="4"/>
  <c r="E17" i="4" s="1"/>
  <c r="C16" i="4"/>
  <c r="E16" i="4"/>
  <c r="C18" i="4"/>
  <c r="E18" i="4" s="1"/>
  <c r="C3" i="4"/>
  <c r="E3" i="4" s="1"/>
  <c r="C19" i="4"/>
  <c r="E19" i="4" s="1"/>
  <c r="C20" i="4"/>
  <c r="E20" i="4"/>
  <c r="C21" i="4"/>
  <c r="E21" i="4"/>
  <c r="C2" i="4"/>
  <c r="E2" i="4" s="1"/>
  <c r="J17" i="5" l="1"/>
  <c r="L17" i="5" s="1"/>
  <c r="G17" i="5"/>
  <c r="K17" i="5" s="1"/>
  <c r="C23" i="5"/>
  <c r="F23" i="5" s="1"/>
  <c r="L12" i="5"/>
  <c r="C29" i="5"/>
  <c r="F29" i="5" s="1"/>
  <c r="J8" i="5"/>
  <c r="L8" i="5" s="1"/>
  <c r="C31" i="5"/>
  <c r="F31" i="5" s="1"/>
  <c r="G31" i="5" s="1"/>
  <c r="K31" i="5" s="1"/>
  <c r="J14" i="5"/>
  <c r="L14" i="5" s="1"/>
  <c r="G14" i="5"/>
  <c r="K14" i="5" s="1"/>
  <c r="G29" i="5"/>
  <c r="K29" i="5" s="1"/>
  <c r="J29" i="5"/>
  <c r="L29" i="5" s="1"/>
  <c r="J10" i="5"/>
  <c r="L10" i="5" s="1"/>
  <c r="G10" i="5"/>
  <c r="K10" i="5" s="1"/>
  <c r="J25" i="5"/>
  <c r="L25" i="5" s="1"/>
  <c r="G25" i="5"/>
  <c r="K25" i="5" s="1"/>
  <c r="I6" i="5"/>
  <c r="J27" i="5"/>
  <c r="L27" i="5" s="1"/>
  <c r="G27" i="5"/>
  <c r="K27" i="5" s="1"/>
  <c r="C6" i="5"/>
  <c r="C21" i="5"/>
  <c r="F21" i="5" s="1"/>
  <c r="G12" i="5"/>
  <c r="K12" i="5" s="1"/>
  <c r="J19" i="5"/>
  <c r="L19" i="5" s="1"/>
  <c r="G19" i="5"/>
  <c r="K19" i="5" s="1"/>
  <c r="J31" i="5" l="1"/>
  <c r="L31" i="5" s="1"/>
  <c r="M30" i="5" s="1"/>
  <c r="M29" i="5" s="1"/>
  <c r="M28" i="5" s="1"/>
  <c r="M27" i="5" s="1"/>
  <c r="M26" i="5" s="1"/>
  <c r="M25" i="5" s="1"/>
  <c r="M24" i="5" s="1"/>
  <c r="M23" i="5" s="1"/>
  <c r="M22" i="5" s="1"/>
  <c r="M21" i="5" s="1"/>
  <c r="G23" i="5"/>
  <c r="K23" i="5" s="1"/>
  <c r="J23" i="5"/>
  <c r="L23" i="5" s="1"/>
  <c r="I7" i="5"/>
  <c r="G21" i="5"/>
  <c r="K21" i="5" s="1"/>
  <c r="J21" i="5"/>
  <c r="L21" i="5" s="1"/>
  <c r="M20" i="5" s="1"/>
  <c r="M19" i="5" s="1"/>
  <c r="M18" i="5" s="1"/>
  <c r="M17" i="5" s="1"/>
  <c r="M16" i="5" s="1"/>
  <c r="M15" i="5" s="1"/>
  <c r="M14" i="5" s="1"/>
  <c r="M13" i="5" s="1"/>
  <c r="M12" i="5" s="1"/>
  <c r="M11" i="5" s="1"/>
  <c r="M10" i="5" s="1"/>
  <c r="M9" i="5" s="1"/>
  <c r="M8" i="5" s="1"/>
  <c r="M7" i="5" s="1"/>
  <c r="M6" i="5" s="1"/>
  <c r="F6" i="5"/>
  <c r="J77" i="5"/>
  <c r="K77" i="5" s="1"/>
  <c r="J6" i="5" l="1"/>
  <c r="L6" i="5" s="1"/>
  <c r="M5" i="5" s="1"/>
  <c r="G6" i="5"/>
  <c r="K6" i="5" s="1"/>
  <c r="I8" i="5"/>
  <c r="S7" i="5"/>
  <c r="M4" i="5" l="1"/>
  <c r="S6" i="5"/>
  <c r="I9" i="5"/>
  <c r="S8" i="5"/>
  <c r="S9" i="5" l="1"/>
  <c r="I10" i="5"/>
  <c r="A11" i="5"/>
  <c r="S5" i="5"/>
  <c r="S10" i="5" l="1"/>
  <c r="I11" i="5"/>
  <c r="O8" i="5"/>
  <c r="Q8" i="5" s="1"/>
  <c r="O12" i="5"/>
  <c r="Q12" i="5" s="1"/>
  <c r="O16" i="5"/>
  <c r="Q16" i="5" s="1"/>
  <c r="O20" i="5"/>
  <c r="Q20" i="5" s="1"/>
  <c r="O24" i="5"/>
  <c r="Q24" i="5" s="1"/>
  <c r="O28" i="5"/>
  <c r="Q28" i="5" s="1"/>
  <c r="O7" i="5"/>
  <c r="Q7" i="5" s="1"/>
  <c r="R8" i="5" s="1"/>
  <c r="O11" i="5"/>
  <c r="Q11" i="5" s="1"/>
  <c r="O15" i="5"/>
  <c r="Q15" i="5" s="1"/>
  <c r="R16" i="5" s="1"/>
  <c r="O19" i="5"/>
  <c r="Q19" i="5" s="1"/>
  <c r="R20" i="5" s="1"/>
  <c r="O23" i="5"/>
  <c r="Q23" i="5" s="1"/>
  <c r="R24" i="5" s="1"/>
  <c r="O27" i="5"/>
  <c r="Q27" i="5" s="1"/>
  <c r="O31" i="5"/>
  <c r="Q31" i="5" s="1"/>
  <c r="A13" i="5"/>
  <c r="O6" i="5"/>
  <c r="Q6" i="5" s="1"/>
  <c r="O10" i="5"/>
  <c r="Q10" i="5" s="1"/>
  <c r="O14" i="5"/>
  <c r="Q14" i="5" s="1"/>
  <c r="O18" i="5"/>
  <c r="Q18" i="5" s="1"/>
  <c r="O22" i="5"/>
  <c r="Q22" i="5" s="1"/>
  <c r="O26" i="5"/>
  <c r="Q26" i="5" s="1"/>
  <c r="O30" i="5"/>
  <c r="Q30" i="5" s="1"/>
  <c r="O9" i="5"/>
  <c r="Q9" i="5" s="1"/>
  <c r="R10" i="5" s="1"/>
  <c r="O25" i="5"/>
  <c r="Q25" i="5" s="1"/>
  <c r="R26" i="5" s="1"/>
  <c r="O5" i="5"/>
  <c r="Q5" i="5" s="1"/>
  <c r="O21" i="5"/>
  <c r="Q21" i="5" s="1"/>
  <c r="O17" i="5"/>
  <c r="Q17" i="5" s="1"/>
  <c r="R18" i="5" s="1"/>
  <c r="O29" i="5"/>
  <c r="Q29" i="5" s="1"/>
  <c r="R30" i="5" s="1"/>
  <c r="O13" i="5"/>
  <c r="Q13" i="5" s="1"/>
  <c r="R14" i="5" s="1"/>
  <c r="R31" i="5" l="1"/>
  <c r="R15" i="5"/>
  <c r="R27" i="5"/>
  <c r="R23" i="5"/>
  <c r="R11" i="5"/>
  <c r="R19" i="5"/>
  <c r="R7" i="5"/>
  <c r="R17" i="5"/>
  <c r="I12" i="5"/>
  <c r="S11" i="5"/>
  <c r="R29" i="5"/>
  <c r="R13" i="5"/>
  <c r="R22" i="5"/>
  <c r="R25" i="5"/>
  <c r="R9" i="5"/>
  <c r="R6" i="5"/>
  <c r="R5" i="5"/>
  <c r="R28" i="5"/>
  <c r="R12" i="5"/>
  <c r="R21" i="5"/>
  <c r="I13" i="5" l="1"/>
  <c r="S12" i="5"/>
  <c r="S13" i="5" l="1"/>
  <c r="I14" i="5"/>
  <c r="S14" i="5" l="1"/>
  <c r="I15" i="5"/>
  <c r="I16" i="5" l="1"/>
  <c r="S15" i="5"/>
  <c r="I17" i="5" l="1"/>
  <c r="S16" i="5"/>
  <c r="S17" i="5" l="1"/>
  <c r="I18" i="5"/>
  <c r="S18" i="5" l="1"/>
  <c r="I19" i="5"/>
  <c r="I20" i="5" l="1"/>
  <c r="S19" i="5"/>
  <c r="I21" i="5" l="1"/>
  <c r="S20" i="5"/>
  <c r="S21" i="5" l="1"/>
  <c r="I22" i="5"/>
  <c r="S22" i="5" l="1"/>
  <c r="I23" i="5"/>
  <c r="I24" i="5" l="1"/>
  <c r="S23" i="5"/>
  <c r="I25" i="5" l="1"/>
  <c r="S24" i="5"/>
  <c r="S25" i="5" l="1"/>
  <c r="I26" i="5"/>
  <c r="S26" i="5" l="1"/>
  <c r="I27" i="5"/>
  <c r="I28" i="5" l="1"/>
  <c r="S27" i="5"/>
  <c r="I29" i="5" l="1"/>
  <c r="S28" i="5"/>
  <c r="S29" i="5" l="1"/>
  <c r="I30" i="5"/>
  <c r="S30" i="5" l="1"/>
  <c r="I31" i="5"/>
  <c r="I32" i="5" l="1"/>
  <c r="N32" i="5" s="1"/>
  <c r="N31" i="5" s="1"/>
  <c r="N30" i="5" s="1"/>
  <c r="N29" i="5" s="1"/>
  <c r="S31" i="5"/>
  <c r="N28" i="5" l="1"/>
  <c r="T29" i="5"/>
  <c r="T31" i="5"/>
  <c r="T30" i="5"/>
  <c r="N27" i="5" l="1"/>
  <c r="T28" i="5"/>
  <c r="N26" i="5" l="1"/>
  <c r="T27" i="5"/>
  <c r="N25" i="5" l="1"/>
  <c r="T26" i="5"/>
  <c r="N24" i="5" l="1"/>
  <c r="T25" i="5"/>
  <c r="N23" i="5" l="1"/>
  <c r="T24" i="5"/>
  <c r="N22" i="5" l="1"/>
  <c r="T23" i="5"/>
  <c r="N21" i="5" l="1"/>
  <c r="T22" i="5"/>
  <c r="N20" i="5" l="1"/>
  <c r="T21" i="5"/>
  <c r="N19" i="5" l="1"/>
  <c r="T20" i="5"/>
  <c r="N18" i="5" l="1"/>
  <c r="T19" i="5"/>
  <c r="N17" i="5" l="1"/>
  <c r="T18" i="5"/>
  <c r="N16" i="5" l="1"/>
  <c r="T17" i="5"/>
  <c r="N15" i="5" l="1"/>
  <c r="T16" i="5"/>
  <c r="N14" i="5" l="1"/>
  <c r="T15" i="5"/>
  <c r="N13" i="5" l="1"/>
  <c r="T14" i="5"/>
  <c r="N12" i="5" l="1"/>
  <c r="T13" i="5"/>
  <c r="N11" i="5" l="1"/>
  <c r="T12" i="5"/>
  <c r="N10" i="5" l="1"/>
  <c r="T11" i="5"/>
  <c r="N9" i="5" l="1"/>
  <c r="T10" i="5"/>
  <c r="N8" i="5" l="1"/>
  <c r="T9" i="5"/>
  <c r="N7" i="5" l="1"/>
  <c r="T8" i="5"/>
  <c r="N6" i="5" l="1"/>
  <c r="T7" i="5"/>
  <c r="N5" i="5" l="1"/>
  <c r="T6" i="5"/>
  <c r="N4" i="5" l="1"/>
  <c r="P4" i="5" s="1"/>
  <c r="T5" i="5"/>
  <c r="P7" i="5" l="1"/>
  <c r="P11" i="5"/>
  <c r="P15" i="5"/>
  <c r="P19" i="5"/>
  <c r="P23" i="5"/>
  <c r="P8" i="5"/>
  <c r="P12" i="5"/>
  <c r="P16" i="5"/>
  <c r="P20" i="5"/>
  <c r="P24" i="5"/>
  <c r="P28" i="5"/>
  <c r="P5" i="5"/>
  <c r="P10" i="5"/>
  <c r="P18" i="5"/>
  <c r="P26" i="5"/>
  <c r="P31" i="5"/>
  <c r="P13" i="5"/>
  <c r="P21" i="5"/>
  <c r="P27" i="5"/>
  <c r="P6" i="5"/>
  <c r="P14" i="5"/>
  <c r="P22" i="5"/>
  <c r="P29" i="5"/>
  <c r="P17" i="5"/>
  <c r="P25" i="5"/>
  <c r="P30" i="5"/>
  <c r="P9" i="5"/>
</calcChain>
</file>

<file path=xl/sharedStrings.xml><?xml version="1.0" encoding="utf-8"?>
<sst xmlns="http://schemas.openxmlformats.org/spreadsheetml/2006/main" count="623" uniqueCount="140">
  <si>
    <t>Mirror Lake</t>
  </si>
  <si>
    <t>Utah</t>
  </si>
  <si>
    <t>MIR01</t>
  </si>
  <si>
    <t>NEW</t>
  </si>
  <si>
    <t>Po-209 Spike Act:</t>
  </si>
  <si>
    <t>Reference Date:</t>
  </si>
  <si>
    <t>Background 32</t>
  </si>
  <si>
    <t>Detector</t>
  </si>
  <si>
    <t>209Po (dpm)</t>
  </si>
  <si>
    <t>210Po (dpm)</t>
  </si>
  <si>
    <t>Bkg Date</t>
  </si>
  <si>
    <t>% Efficiency</t>
  </si>
  <si>
    <t>Eff Date</t>
  </si>
  <si>
    <t>Code #</t>
  </si>
  <si>
    <t>Rho</t>
  </si>
  <si>
    <t>Seg.No.</t>
  </si>
  <si>
    <t>1st 209 Ch</t>
  </si>
  <si>
    <t>Nth 209 Ch</t>
  </si>
  <si>
    <t>1st 210 Ch</t>
  </si>
  <si>
    <t>Nth 210 Ch</t>
  </si>
  <si>
    <t>209 Counts</t>
  </si>
  <si>
    <t>210 Counts</t>
  </si>
  <si>
    <t>210Pb</t>
  </si>
  <si>
    <t>Series #</t>
  </si>
  <si>
    <t>(cm)</t>
  </si>
  <si>
    <t>(pCi/g)</t>
  </si>
  <si>
    <t>(±s.d.)</t>
  </si>
  <si>
    <t>MIR01-0.0</t>
  </si>
  <si>
    <t>MIR01-1.0</t>
  </si>
  <si>
    <t>MIR01-7.5</t>
  </si>
  <si>
    <t>MIR01-17.5</t>
  </si>
  <si>
    <t>MIR01-26.5</t>
  </si>
  <si>
    <t>MIR01-29.0</t>
  </si>
  <si>
    <t>MIR01-30.0</t>
  </si>
  <si>
    <t>MIR01-32.5</t>
  </si>
  <si>
    <t>Top</t>
  </si>
  <si>
    <t>Base</t>
  </si>
  <si>
    <t>%dry</t>
  </si>
  <si>
    <t>%water</t>
  </si>
  <si>
    <t>Interpolate</t>
  </si>
  <si>
    <t>N</t>
  </si>
  <si>
    <t>Xt</t>
  </si>
  <si>
    <t>Xb</t>
  </si>
  <si>
    <t>Cti</t>
  </si>
  <si>
    <t>dCti</t>
  </si>
  <si>
    <t>Li</t>
  </si>
  <si>
    <t>Ci</t>
  </si>
  <si>
    <t>dCi</t>
  </si>
  <si>
    <t>Di</t>
  </si>
  <si>
    <t>dAi</t>
  </si>
  <si>
    <t>Ti</t>
  </si>
  <si>
    <t>dTi</t>
  </si>
  <si>
    <t>BaseDate</t>
  </si>
  <si>
    <t>MidDate</t>
  </si>
  <si>
    <t>Ri</t>
  </si>
  <si>
    <t>dRi</t>
  </si>
  <si>
    <t>=</t>
  </si>
  <si>
    <t>&gt;0</t>
  </si>
  <si>
    <t>Ai</t>
  </si>
  <si>
    <t>Int.</t>
  </si>
  <si>
    <t>Po/Pb-210</t>
  </si>
  <si>
    <t>Cti*</t>
  </si>
  <si>
    <t>dCti*</t>
  </si>
  <si>
    <t>Top of</t>
  </si>
  <si>
    <t>Interval</t>
  </si>
  <si>
    <t>Base of</t>
  </si>
  <si>
    <t>Mid of</t>
  </si>
  <si>
    <t>Total</t>
  </si>
  <si>
    <t>Error of</t>
  </si>
  <si>
    <t>Total Pb</t>
  </si>
  <si>
    <t>Cum.</t>
  </si>
  <si>
    <t>Dry Mass</t>
  </si>
  <si>
    <t>(g/cm2)</t>
  </si>
  <si>
    <t>Unsup.</t>
  </si>
  <si>
    <t>Unsup Pb</t>
  </si>
  <si>
    <t>Age: Base</t>
  </si>
  <si>
    <t>of Int.</t>
  </si>
  <si>
    <t>(yr)</t>
  </si>
  <si>
    <t xml:space="preserve">Error of </t>
  </si>
  <si>
    <t>Age</t>
  </si>
  <si>
    <t>Date: Base</t>
  </si>
  <si>
    <t>A.D.</t>
  </si>
  <si>
    <t>Date: Mid</t>
  </si>
  <si>
    <t>Sediment</t>
  </si>
  <si>
    <t>DMAR</t>
  </si>
  <si>
    <t>(g/cm2 yr)</t>
  </si>
  <si>
    <t>MIR01-5.0</t>
  </si>
  <si>
    <t>MIR01-10.0</t>
  </si>
  <si>
    <t>MIR01-12.5</t>
  </si>
  <si>
    <t>MIR01-15.0</t>
  </si>
  <si>
    <t>Ai&lt;=0.05*Ao</t>
  </si>
  <si>
    <t>MIR01-22.5</t>
  </si>
  <si>
    <t>MIR01-2.5</t>
  </si>
  <si>
    <t>MIR01-3.5</t>
  </si>
  <si>
    <t>MIR01-6.0</t>
  </si>
  <si>
    <t>MIR01-6.5</t>
  </si>
  <si>
    <t>MIR01-9.0</t>
  </si>
  <si>
    <t>MIR01-11.0</t>
  </si>
  <si>
    <t>MIR01-16.5</t>
  </si>
  <si>
    <t>Supported Pb-210:     1.6502 ± 0.0297  pCi/g</t>
  </si>
  <si>
    <t>Number of Supported Samples:    5</t>
  </si>
  <si>
    <t>Unsup. Pb-210 Flux:       0.7265  pCi/cm2 yr</t>
  </si>
  <si>
    <t>Cum. Unsup. Pb-210:    22.4985  pCi/cm2</t>
  </si>
  <si>
    <t>Btm Interval (cm)</t>
  </si>
  <si>
    <t>Date Analized</t>
  </si>
  <si>
    <t>Det.</t>
  </si>
  <si>
    <t>Sample ht (cm)</t>
  </si>
  <si>
    <t>137Cs 
Not Ht Corrected</t>
  </si>
  <si>
    <t>137Cs 
Ht Corrected</t>
  </si>
  <si>
    <t>July. 2021</t>
  </si>
  <si>
    <t>June. 2021</t>
  </si>
  <si>
    <t xml:space="preserve">Lake </t>
  </si>
  <si>
    <t>Depth (cm)</t>
  </si>
  <si>
    <t>2.5-3</t>
  </si>
  <si>
    <t>4.5-5</t>
  </si>
  <si>
    <t>5-5.5</t>
  </si>
  <si>
    <t>5.5-6</t>
  </si>
  <si>
    <t>6-6.5</t>
  </si>
  <si>
    <t>6.5-7</t>
  </si>
  <si>
    <t>7-7.5</t>
  </si>
  <si>
    <t>7.5-8</t>
  </si>
  <si>
    <t>8-8.5</t>
  </si>
  <si>
    <t>9-9.5</t>
  </si>
  <si>
    <t>9.5-10</t>
  </si>
  <si>
    <t>10-10.5</t>
  </si>
  <si>
    <t>Mirror Lake Utah</t>
  </si>
  <si>
    <t>Int. Top (cm)</t>
  </si>
  <si>
    <t>Int. Base (cm)</t>
  </si>
  <si>
    <t>Sed. Wt. (g dry)</t>
  </si>
  <si>
    <t>Spike Wt. (g)</t>
  </si>
  <si>
    <t>Extr. Date (m/d/y)</t>
  </si>
  <si>
    <t>Rho (g/cm3)</t>
  </si>
  <si>
    <t>Count Time (s)</t>
  </si>
  <si>
    <t>Start Count (m/d/y)</t>
  </si>
  <si>
    <t>End Count (m/d/y)</t>
  </si>
  <si>
    <t>210Pb (pCi/g)</t>
  </si>
  <si>
    <t>Error 210Pb (+/- s.d.)</t>
  </si>
  <si>
    <t>Plat. Effic. (%)</t>
  </si>
  <si>
    <t>'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</si>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</sst>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.####\ &quot;(pCi/g)&quot;"/>
    <numFmt numFmtId="165" formatCode="0.0000"/>
    <numFmt numFmtId="166" formatCode="0.0"/>
    <numFmt numFmtId="167" formatCode="&quot;Core:    &quot;m/d/yy"/>
    <numFmt numFmtId="168" formatCode="0.000"/>
  </numFmts>
  <fonts count="8" x14ac:knownFonts="1">
    <font>
      <sz val="10"/>
      <color theme="1"/>
      <name val="Geneva"/>
      <family val="2"/>
    </font>
    <font>
      <sz val="9"/>
      <color theme="5" tint="-0.249977111117893"/>
      <name val="Geneva"/>
      <family val="2"/>
    </font>
    <font>
      <sz val="9"/>
      <name val="Geneva"/>
      <family val="2"/>
    </font>
    <font>
      <sz val="8"/>
      <name val="Geneva"/>
      <family val="2"/>
    </font>
    <font>
      <u/>
      <sz val="10"/>
      <color theme="10"/>
      <name val="Geneva"/>
      <family val="2"/>
    </font>
    <font>
      <u/>
      <sz val="10"/>
      <color theme="11"/>
      <name val="Geneva"/>
      <family val="2"/>
    </font>
    <font>
      <sz val="9"/>
      <color theme="1"/>
      <name val="Geneva"/>
      <family val="2"/>
    </font>
    <font>
      <sz val="10"/>
      <name val="Genev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6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165" fontId="1" fillId="0" borderId="0" xfId="0" applyNumberFormat="1" applyFont="1"/>
    <xf numFmtId="14" fontId="1" fillId="0" borderId="0" xfId="0" applyNumberFormat="1" applyFont="1"/>
    <xf numFmtId="166" fontId="1" fillId="0" borderId="0" xfId="0" applyNumberFormat="1" applyFont="1"/>
    <xf numFmtId="0" fontId="2" fillId="0" borderId="0" xfId="0" applyFont="1"/>
    <xf numFmtId="165" fontId="2" fillId="0" borderId="0" xfId="0" applyNumberFormat="1" applyFont="1"/>
    <xf numFmtId="166" fontId="2" fillId="0" borderId="0" xfId="0" applyNumberFormat="1" applyFont="1"/>
    <xf numFmtId="165" fontId="0" fillId="0" borderId="0" xfId="0" applyNumberFormat="1"/>
    <xf numFmtId="166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3" xfId="0" applyBorder="1"/>
    <xf numFmtId="2" fontId="0" fillId="0" borderId="0" xfId="0" applyNumberFormat="1"/>
    <xf numFmtId="167" fontId="0" fillId="0" borderId="0" xfId="0" applyNumberFormat="1"/>
    <xf numFmtId="0" fontId="0" fillId="0" borderId="7" xfId="0" applyBorder="1"/>
    <xf numFmtId="0" fontId="0" fillId="0" borderId="1" xfId="0" applyBorder="1"/>
    <xf numFmtId="0" fontId="0" fillId="0" borderId="2" xfId="0" applyBorder="1"/>
    <xf numFmtId="0" fontId="0" fillId="0" borderId="8" xfId="0" applyBorder="1"/>
    <xf numFmtId="0" fontId="0" fillId="0" borderId="10" xfId="0" applyBorder="1"/>
    <xf numFmtId="168" fontId="0" fillId="0" borderId="0" xfId="0" applyNumberFormat="1"/>
    <xf numFmtId="168" fontId="0" fillId="0" borderId="3" xfId="0" applyNumberFormat="1" applyBorder="1"/>
    <xf numFmtId="165" fontId="0" fillId="0" borderId="9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6" xfId="0" applyFont="1" applyBorder="1"/>
    <xf numFmtId="2" fontId="0" fillId="0" borderId="3" xfId="0" applyNumberFormat="1" applyBorder="1"/>
    <xf numFmtId="0" fontId="0" fillId="0" borderId="0" xfId="0" quotePrefix="1"/>
    <xf numFmtId="0" fontId="6" fillId="0" borderId="12" xfId="0" quotePrefix="1" applyFont="1" applyBorder="1" applyAlignment="1">
      <alignment horizontal="center"/>
    </xf>
    <xf numFmtId="2" fontId="0" fillId="0" borderId="9" xfId="0" applyNumberFormat="1" applyBorder="1"/>
    <xf numFmtId="2" fontId="0" fillId="0" borderId="4" xfId="0" applyNumberFormat="1" applyBorder="1"/>
    <xf numFmtId="0" fontId="0" fillId="0" borderId="2" xfId="0" quotePrefix="1" applyBorder="1"/>
    <xf numFmtId="0" fontId="0" fillId="0" borderId="7" xfId="0" quotePrefix="1" applyBorder="1"/>
  </cellXfs>
  <cellStyles count="3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1"/>
  <sheetViews>
    <sheetView tabSelected="1" workbookViewId="0">
      <selection activeCell="I54" sqref="I54"/>
    </sheetView>
  </sheetViews>
  <sheetFormatPr baseColWidth="10" defaultRowHeight="14" x14ac:dyDescent="0.2"/>
  <cols>
    <col min="1" max="1" width="15.7109375" customWidth="1"/>
    <col min="2" max="22" width="9" customWidth="1"/>
  </cols>
  <sheetData>
    <row r="1" spans="1:22" x14ac:dyDescent="0.2">
      <c r="A1" t="s">
        <v>125</v>
      </c>
      <c r="B1" s="15" t="s">
        <v>13</v>
      </c>
      <c r="C1" s="13" t="s">
        <v>126</v>
      </c>
      <c r="D1" s="13" t="s">
        <v>127</v>
      </c>
      <c r="E1" s="13" t="s">
        <v>128</v>
      </c>
      <c r="F1" s="13" t="s">
        <v>129</v>
      </c>
      <c r="G1" s="13" t="s">
        <v>130</v>
      </c>
      <c r="H1" s="13" t="s">
        <v>131</v>
      </c>
      <c r="I1" s="13" t="s">
        <v>15</v>
      </c>
      <c r="J1" s="13" t="s">
        <v>132</v>
      </c>
      <c r="K1" s="13" t="s">
        <v>133</v>
      </c>
      <c r="L1" s="13" t="s">
        <v>134</v>
      </c>
      <c r="M1" s="13" t="s">
        <v>16</v>
      </c>
      <c r="N1" s="13" t="s">
        <v>17</v>
      </c>
      <c r="O1" s="13" t="s">
        <v>18</v>
      </c>
      <c r="P1" s="13" t="s">
        <v>19</v>
      </c>
      <c r="Q1" s="13" t="s">
        <v>20</v>
      </c>
      <c r="R1" s="13" t="s">
        <v>21</v>
      </c>
      <c r="S1" s="13" t="s">
        <v>135</v>
      </c>
      <c r="T1" s="13" t="s">
        <v>136</v>
      </c>
      <c r="U1" s="13" t="s">
        <v>137</v>
      </c>
      <c r="V1" s="14" t="s">
        <v>23</v>
      </c>
    </row>
    <row r="2" spans="1:22" x14ac:dyDescent="0.2">
      <c r="A2" t="s">
        <v>2</v>
      </c>
      <c r="B2" s="16" t="s">
        <v>27</v>
      </c>
      <c r="C2" s="12">
        <v>0</v>
      </c>
      <c r="D2" s="12">
        <v>0.5</v>
      </c>
      <c r="E2">
        <v>0.21010000000000001</v>
      </c>
      <c r="F2">
        <v>0.99150000000000005</v>
      </c>
      <c r="G2" s="1">
        <v>42768</v>
      </c>
      <c r="H2" s="11">
        <v>7.9200000000000007E-2</v>
      </c>
      <c r="I2">
        <v>17</v>
      </c>
      <c r="J2">
        <v>149800</v>
      </c>
      <c r="K2" s="1">
        <v>42768</v>
      </c>
      <c r="L2" s="1">
        <v>42770</v>
      </c>
      <c r="M2">
        <v>158</v>
      </c>
      <c r="N2">
        <v>168</v>
      </c>
      <c r="O2">
        <v>244</v>
      </c>
      <c r="P2">
        <v>254</v>
      </c>
      <c r="Q2">
        <v>2977</v>
      </c>
      <c r="R2">
        <v>7129</v>
      </c>
      <c r="S2" s="11">
        <f t="shared" ref="S2:S21" si="0">ROUND((R2-(INDEX(back210,(I2))*J2/60))*_Act209*EXP(-0.00001516*((K2+L2)/2-Ref))*F2*EXP(0.005*((K2+L2)/2-G2))/((Q2-(INDEX(back209,(I2))*J2/60))*E2),4)</f>
        <v>46.62</v>
      </c>
      <c r="T2">
        <f t="shared" ref="T2:T21" si="1">ROUND(SQRT(1/(Q2-(INDEX(back209,(I2))*J2/60))+1/(R2-(INDEX(back210,(I2))*J2/60)))*S2,4)</f>
        <v>1.0175000000000001</v>
      </c>
      <c r="U2">
        <f t="shared" ref="U2:U21" si="2">ROUND((Q2-(INDEX(back209,(I2))*J2/60))*6000/(J2*2.22*F2*_Act209*EXP(-0.00001516*((K2+L2)/2-Ref))*INDEX(efficiency,(I2))/100),0)</f>
        <v>85</v>
      </c>
      <c r="V2">
        <v>1</v>
      </c>
    </row>
    <row r="3" spans="1:22" x14ac:dyDescent="0.2">
      <c r="A3" s="1">
        <v>42543</v>
      </c>
      <c r="B3" s="17" t="s">
        <v>28</v>
      </c>
      <c r="C3" s="12">
        <v>1</v>
      </c>
      <c r="D3" s="12">
        <v>1.5</v>
      </c>
      <c r="E3">
        <v>0.50929999999999997</v>
      </c>
      <c r="F3">
        <v>0.99050000000000005</v>
      </c>
      <c r="G3" s="1">
        <v>42768</v>
      </c>
      <c r="H3" s="11">
        <v>0.1104</v>
      </c>
      <c r="I3">
        <v>18</v>
      </c>
      <c r="J3">
        <v>149930</v>
      </c>
      <c r="K3" s="1">
        <v>42768</v>
      </c>
      <c r="L3" s="1">
        <v>42770</v>
      </c>
      <c r="M3">
        <v>162</v>
      </c>
      <c r="N3">
        <v>172</v>
      </c>
      <c r="O3">
        <v>249</v>
      </c>
      <c r="P3">
        <v>259</v>
      </c>
      <c r="Q3">
        <v>3255</v>
      </c>
      <c r="R3">
        <v>18059</v>
      </c>
      <c r="S3">
        <f t="shared" si="0"/>
        <v>44.510199999999998</v>
      </c>
      <c r="T3">
        <f t="shared" si="1"/>
        <v>0.84770000000000001</v>
      </c>
      <c r="U3">
        <f t="shared" si="2"/>
        <v>94</v>
      </c>
      <c r="V3">
        <v>2</v>
      </c>
    </row>
    <row r="4" spans="1:22" x14ac:dyDescent="0.2">
      <c r="A4" t="s">
        <v>3</v>
      </c>
      <c r="B4" s="17" t="s">
        <v>92</v>
      </c>
      <c r="C4" s="12">
        <v>2.5</v>
      </c>
      <c r="D4" s="12">
        <v>3</v>
      </c>
      <c r="E4">
        <v>0.5262</v>
      </c>
      <c r="F4">
        <v>0.99809999999999999</v>
      </c>
      <c r="G4" s="1">
        <v>42853</v>
      </c>
      <c r="H4">
        <v>0.1258</v>
      </c>
      <c r="I4">
        <v>4</v>
      </c>
      <c r="J4">
        <v>63340</v>
      </c>
      <c r="K4" s="1">
        <v>42853</v>
      </c>
      <c r="L4" s="1">
        <v>42854</v>
      </c>
      <c r="M4">
        <v>162</v>
      </c>
      <c r="N4">
        <v>172</v>
      </c>
      <c r="O4">
        <v>249</v>
      </c>
      <c r="P4">
        <v>259</v>
      </c>
      <c r="Q4">
        <v>1411</v>
      </c>
      <c r="R4">
        <v>4353</v>
      </c>
      <c r="S4">
        <f t="shared" si="0"/>
        <v>24.060500000000001</v>
      </c>
      <c r="T4">
        <f t="shared" si="1"/>
        <v>0.73729999999999996</v>
      </c>
      <c r="U4">
        <f t="shared" si="2"/>
        <v>92</v>
      </c>
      <c r="V4">
        <v>3</v>
      </c>
    </row>
    <row r="5" spans="1:22" x14ac:dyDescent="0.2">
      <c r="A5" s="38" t="s">
        <v>138</v>
      </c>
      <c r="B5" s="17" t="s">
        <v>93</v>
      </c>
      <c r="C5" s="12">
        <v>3.5</v>
      </c>
      <c r="D5" s="12">
        <v>4</v>
      </c>
      <c r="E5">
        <v>0.50449999999999995</v>
      </c>
      <c r="F5">
        <v>0.99660000000000004</v>
      </c>
      <c r="G5" s="1">
        <v>42853</v>
      </c>
      <c r="H5">
        <v>0.19969999999999999</v>
      </c>
      <c r="I5">
        <v>7</v>
      </c>
      <c r="J5">
        <v>63410</v>
      </c>
      <c r="K5" s="1">
        <v>42853</v>
      </c>
      <c r="L5" s="1">
        <v>42854</v>
      </c>
      <c r="M5">
        <v>158</v>
      </c>
      <c r="N5">
        <v>169</v>
      </c>
      <c r="O5">
        <v>245</v>
      </c>
      <c r="P5">
        <v>256</v>
      </c>
      <c r="Q5">
        <v>1488</v>
      </c>
      <c r="R5">
        <v>2774</v>
      </c>
      <c r="S5">
        <f t="shared" si="0"/>
        <v>15.1348</v>
      </c>
      <c r="T5">
        <f t="shared" si="1"/>
        <v>0.4864</v>
      </c>
      <c r="U5">
        <f t="shared" si="2"/>
        <v>95</v>
      </c>
      <c r="V5">
        <v>4</v>
      </c>
    </row>
    <row r="6" spans="1:22" x14ac:dyDescent="0.2">
      <c r="A6" t="s">
        <v>4</v>
      </c>
      <c r="B6" s="17" t="s">
        <v>86</v>
      </c>
      <c r="C6" s="12">
        <v>5</v>
      </c>
      <c r="D6" s="12">
        <v>5.5</v>
      </c>
      <c r="E6">
        <v>0.5131</v>
      </c>
      <c r="F6">
        <v>0.9839</v>
      </c>
      <c r="G6" s="1">
        <v>42778</v>
      </c>
      <c r="H6">
        <v>0.12139999999999999</v>
      </c>
      <c r="I6">
        <v>19</v>
      </c>
      <c r="J6">
        <v>318760</v>
      </c>
      <c r="K6" s="1">
        <v>42778</v>
      </c>
      <c r="L6" s="1">
        <v>42782</v>
      </c>
      <c r="M6">
        <v>150</v>
      </c>
      <c r="N6">
        <v>160</v>
      </c>
      <c r="O6">
        <v>236</v>
      </c>
      <c r="P6">
        <v>246</v>
      </c>
      <c r="Q6">
        <v>7212</v>
      </c>
      <c r="R6">
        <v>22717</v>
      </c>
      <c r="S6" s="11">
        <f t="shared" si="0"/>
        <v>25.039000000000001</v>
      </c>
      <c r="T6">
        <f t="shared" si="1"/>
        <v>0.33850000000000002</v>
      </c>
      <c r="U6">
        <f t="shared" si="2"/>
        <v>97</v>
      </c>
      <c r="V6">
        <v>5</v>
      </c>
    </row>
    <row r="7" spans="1:22" x14ac:dyDescent="0.2">
      <c r="A7" s="2">
        <v>4.109</v>
      </c>
      <c r="B7" s="17" t="s">
        <v>94</v>
      </c>
      <c r="C7" s="12">
        <v>6</v>
      </c>
      <c r="D7" s="12">
        <v>6.5</v>
      </c>
      <c r="E7">
        <v>0.54869999999999997</v>
      </c>
      <c r="F7">
        <v>0.99729999999999996</v>
      </c>
      <c r="G7" s="1">
        <v>42853</v>
      </c>
      <c r="H7">
        <v>0.15590000000000001</v>
      </c>
      <c r="I7">
        <v>22</v>
      </c>
      <c r="J7">
        <v>63460</v>
      </c>
      <c r="K7" s="1">
        <v>42853</v>
      </c>
      <c r="L7" s="1">
        <v>42854</v>
      </c>
      <c r="M7">
        <v>156</v>
      </c>
      <c r="N7">
        <v>167</v>
      </c>
      <c r="O7">
        <v>242</v>
      </c>
      <c r="P7">
        <v>253</v>
      </c>
      <c r="Q7">
        <v>1589</v>
      </c>
      <c r="R7">
        <v>1335</v>
      </c>
      <c r="S7">
        <f t="shared" si="0"/>
        <v>6.2748999999999997</v>
      </c>
      <c r="T7" s="11">
        <f t="shared" si="1"/>
        <v>0.23300000000000001</v>
      </c>
      <c r="U7">
        <f t="shared" si="2"/>
        <v>106</v>
      </c>
      <c r="V7">
        <v>6</v>
      </c>
    </row>
    <row r="8" spans="1:22" x14ac:dyDescent="0.2">
      <c r="A8" t="s">
        <v>5</v>
      </c>
      <c r="B8" s="17" t="s">
        <v>95</v>
      </c>
      <c r="C8" s="12">
        <v>6.5</v>
      </c>
      <c r="D8" s="12">
        <v>7</v>
      </c>
      <c r="E8">
        <v>0.53320000000000001</v>
      </c>
      <c r="F8">
        <v>0.99890000000000001</v>
      </c>
      <c r="G8" s="1">
        <v>42853</v>
      </c>
      <c r="H8">
        <v>0.12039999999999999</v>
      </c>
      <c r="I8">
        <v>19</v>
      </c>
      <c r="J8">
        <v>63680</v>
      </c>
      <c r="K8" s="1">
        <v>42853</v>
      </c>
      <c r="L8" s="1">
        <v>42854</v>
      </c>
      <c r="M8">
        <v>148</v>
      </c>
      <c r="N8">
        <v>160</v>
      </c>
      <c r="O8">
        <v>234</v>
      </c>
      <c r="P8">
        <v>246</v>
      </c>
      <c r="Q8">
        <v>1529</v>
      </c>
      <c r="R8">
        <v>1028</v>
      </c>
      <c r="S8">
        <f t="shared" si="0"/>
        <v>5.1746999999999996</v>
      </c>
      <c r="T8">
        <f t="shared" si="1"/>
        <v>0.20880000000000001</v>
      </c>
      <c r="U8">
        <f t="shared" si="2"/>
        <v>102</v>
      </c>
      <c r="V8">
        <v>7</v>
      </c>
    </row>
    <row r="9" spans="1:22" x14ac:dyDescent="0.2">
      <c r="A9" s="1">
        <v>42673</v>
      </c>
      <c r="B9" s="17" t="s">
        <v>29</v>
      </c>
      <c r="C9" s="12">
        <v>7.5</v>
      </c>
      <c r="D9" s="12">
        <v>8</v>
      </c>
      <c r="E9">
        <v>0.51880000000000004</v>
      </c>
      <c r="F9">
        <v>0.99219999999999997</v>
      </c>
      <c r="G9" s="1">
        <v>42768</v>
      </c>
      <c r="H9" s="11">
        <v>0.12509999999999999</v>
      </c>
      <c r="I9">
        <v>20</v>
      </c>
      <c r="J9">
        <v>150050</v>
      </c>
      <c r="K9" s="1">
        <v>42768</v>
      </c>
      <c r="L9" s="1">
        <v>42770</v>
      </c>
      <c r="M9">
        <v>155</v>
      </c>
      <c r="N9">
        <v>167</v>
      </c>
      <c r="O9">
        <v>241</v>
      </c>
      <c r="P9">
        <v>253</v>
      </c>
      <c r="Q9">
        <v>3539</v>
      </c>
      <c r="R9">
        <v>4441</v>
      </c>
      <c r="S9">
        <f t="shared" si="0"/>
        <v>9.8991000000000007</v>
      </c>
      <c r="T9">
        <f t="shared" si="1"/>
        <v>0.22309999999999999</v>
      </c>
      <c r="U9">
        <f t="shared" si="2"/>
        <v>100</v>
      </c>
      <c r="V9">
        <v>8</v>
      </c>
    </row>
    <row r="10" spans="1:22" x14ac:dyDescent="0.2">
      <c r="A10" s="38" t="s">
        <v>138</v>
      </c>
      <c r="B10" s="36" t="s">
        <v>96</v>
      </c>
      <c r="C10" s="12">
        <v>9</v>
      </c>
      <c r="D10" s="12">
        <v>9.5</v>
      </c>
      <c r="E10">
        <v>0.5403</v>
      </c>
      <c r="F10">
        <v>0.99760000000000004</v>
      </c>
      <c r="G10" s="1">
        <v>42853</v>
      </c>
      <c r="H10">
        <v>0.2243</v>
      </c>
      <c r="I10">
        <v>5</v>
      </c>
      <c r="J10">
        <v>145980</v>
      </c>
      <c r="K10" s="1">
        <v>42853</v>
      </c>
      <c r="L10" s="1">
        <v>42855</v>
      </c>
      <c r="M10">
        <v>90</v>
      </c>
      <c r="N10">
        <v>99</v>
      </c>
      <c r="O10">
        <v>171</v>
      </c>
      <c r="P10">
        <v>180</v>
      </c>
      <c r="Q10">
        <v>3677</v>
      </c>
      <c r="R10">
        <v>1511</v>
      </c>
      <c r="S10">
        <f t="shared" si="0"/>
        <v>3.1274000000000002</v>
      </c>
      <c r="T10">
        <f t="shared" si="1"/>
        <v>9.5600000000000004E-2</v>
      </c>
      <c r="U10">
        <f t="shared" si="2"/>
        <v>96</v>
      </c>
      <c r="V10">
        <v>9</v>
      </c>
    </row>
    <row r="11" spans="1:22" x14ac:dyDescent="0.2">
      <c r="A11" t="s">
        <v>6</v>
      </c>
      <c r="B11" s="17" t="s">
        <v>87</v>
      </c>
      <c r="C11" s="12">
        <v>10</v>
      </c>
      <c r="D11" s="12">
        <v>10.5</v>
      </c>
      <c r="E11">
        <v>0.51339999999999997</v>
      </c>
      <c r="F11">
        <v>0.98529999999999995</v>
      </c>
      <c r="G11" s="1">
        <v>42778</v>
      </c>
      <c r="H11">
        <v>0.1552</v>
      </c>
      <c r="I11">
        <v>21</v>
      </c>
      <c r="J11">
        <v>318870</v>
      </c>
      <c r="K11" s="1">
        <v>42778</v>
      </c>
      <c r="L11" s="1">
        <v>42782</v>
      </c>
      <c r="M11">
        <v>154</v>
      </c>
      <c r="N11">
        <v>164</v>
      </c>
      <c r="O11">
        <v>240</v>
      </c>
      <c r="P11">
        <v>250</v>
      </c>
      <c r="Q11">
        <v>7877</v>
      </c>
      <c r="R11">
        <v>4394</v>
      </c>
      <c r="S11">
        <f t="shared" si="0"/>
        <v>4.4347000000000003</v>
      </c>
      <c r="T11">
        <f t="shared" si="1"/>
        <v>8.3500000000000005E-2</v>
      </c>
      <c r="U11">
        <f t="shared" si="2"/>
        <v>105</v>
      </c>
      <c r="V11">
        <v>10</v>
      </c>
    </row>
    <row r="12" spans="1:22" x14ac:dyDescent="0.2">
      <c r="A12" s="38" t="s">
        <v>138</v>
      </c>
      <c r="B12" s="36" t="s">
        <v>97</v>
      </c>
      <c r="C12" s="12">
        <v>11</v>
      </c>
      <c r="D12" s="12">
        <v>11.5</v>
      </c>
      <c r="E12">
        <v>0.57930000000000004</v>
      </c>
      <c r="F12">
        <v>0.99990000000000001</v>
      </c>
      <c r="G12" s="1">
        <v>42853</v>
      </c>
      <c r="H12">
        <v>0.17829999999999999</v>
      </c>
      <c r="I12">
        <v>21</v>
      </c>
      <c r="J12">
        <v>147430</v>
      </c>
      <c r="K12" s="1">
        <v>42853</v>
      </c>
      <c r="L12" s="1">
        <v>42855</v>
      </c>
      <c r="M12">
        <v>153</v>
      </c>
      <c r="N12">
        <v>164</v>
      </c>
      <c r="O12">
        <v>240</v>
      </c>
      <c r="P12">
        <v>251</v>
      </c>
      <c r="Q12">
        <v>3806</v>
      </c>
      <c r="R12">
        <v>1056</v>
      </c>
      <c r="S12">
        <f>ROUND((R12-(INDEX(back210,(I12))*J12/60))*_Act209*EXP(-0.00001516*((K12+L12)/2-Ref))*F12*EXP(0.005*((K12+L12)/2-G12))/((Q12-(INDEX(back209,(I12))*J12/60))*E12),4)</f>
        <v>1.9709000000000001</v>
      </c>
      <c r="T12">
        <f>ROUND(SQRT(1/(Q12-(INDEX(back209,(I12))*J12/60))+1/(R12-(INDEX(back210,(I12))*J12/60)))*S12,4)</f>
        <v>6.8599999999999994E-2</v>
      </c>
      <c r="U12">
        <f>ROUND((Q12-(INDEX(back209,(I12))*J12/60))*6000/(J12*2.22*F12*_Act209*EXP(-0.00001516*((K12+L12)/2-Ref))*INDEX(efficiency,(I12))/100),0)</f>
        <v>109</v>
      </c>
      <c r="V12">
        <v>11</v>
      </c>
    </row>
    <row r="13" spans="1:22" x14ac:dyDescent="0.2">
      <c r="A13" s="38" t="s">
        <v>138</v>
      </c>
      <c r="B13" s="17" t="s">
        <v>88</v>
      </c>
      <c r="C13" s="12">
        <v>12.5</v>
      </c>
      <c r="D13" s="12">
        <v>13</v>
      </c>
      <c r="E13">
        <v>0.50429999999999997</v>
      </c>
      <c r="F13">
        <v>0.98609999999999998</v>
      </c>
      <c r="G13" s="1">
        <v>42778</v>
      </c>
      <c r="H13">
        <v>0.16289999999999999</v>
      </c>
      <c r="I13">
        <v>22</v>
      </c>
      <c r="J13">
        <v>319210</v>
      </c>
      <c r="K13" s="1">
        <v>42778</v>
      </c>
      <c r="L13" s="1">
        <v>42782</v>
      </c>
      <c r="M13">
        <v>155</v>
      </c>
      <c r="N13">
        <v>166</v>
      </c>
      <c r="O13">
        <v>241</v>
      </c>
      <c r="P13">
        <v>252</v>
      </c>
      <c r="Q13">
        <v>7408</v>
      </c>
      <c r="R13">
        <v>2341</v>
      </c>
      <c r="S13" s="11">
        <f t="shared" si="0"/>
        <v>2.5609999999999999</v>
      </c>
      <c r="T13">
        <f t="shared" si="1"/>
        <v>6.0699999999999997E-2</v>
      </c>
      <c r="U13">
        <f t="shared" si="2"/>
        <v>99</v>
      </c>
      <c r="V13">
        <v>12</v>
      </c>
    </row>
    <row r="14" spans="1:22" x14ac:dyDescent="0.2">
      <c r="A14" s="38" t="s">
        <v>138</v>
      </c>
      <c r="B14" s="17" t="s">
        <v>89</v>
      </c>
      <c r="C14" s="12">
        <v>15</v>
      </c>
      <c r="D14" s="12">
        <v>15.5</v>
      </c>
      <c r="E14">
        <v>0.50870000000000004</v>
      </c>
      <c r="F14">
        <v>0.98850000000000005</v>
      </c>
      <c r="G14" s="1">
        <v>42778</v>
      </c>
      <c r="H14">
        <v>0.1696</v>
      </c>
      <c r="I14">
        <v>23</v>
      </c>
      <c r="J14">
        <v>319320</v>
      </c>
      <c r="K14" s="1">
        <v>42778</v>
      </c>
      <c r="L14" s="1">
        <v>42782</v>
      </c>
      <c r="M14">
        <v>156</v>
      </c>
      <c r="N14">
        <v>166</v>
      </c>
      <c r="O14">
        <v>243</v>
      </c>
      <c r="P14">
        <v>253</v>
      </c>
      <c r="Q14">
        <v>7972</v>
      </c>
      <c r="R14">
        <v>2184</v>
      </c>
      <c r="S14">
        <f t="shared" si="0"/>
        <v>2.2057000000000002</v>
      </c>
      <c r="T14">
        <f t="shared" si="1"/>
        <v>5.33E-2</v>
      </c>
      <c r="U14">
        <f t="shared" si="2"/>
        <v>104</v>
      </c>
      <c r="V14">
        <v>13</v>
      </c>
    </row>
    <row r="15" spans="1:22" x14ac:dyDescent="0.2">
      <c r="A15" s="38" t="s">
        <v>138</v>
      </c>
      <c r="B15" s="36" t="s">
        <v>98</v>
      </c>
      <c r="C15" s="12">
        <v>16.5</v>
      </c>
      <c r="D15" s="12">
        <v>17</v>
      </c>
      <c r="E15">
        <v>0.58689999999999998</v>
      </c>
      <c r="F15">
        <v>1.0003</v>
      </c>
      <c r="G15" s="1">
        <v>42853</v>
      </c>
      <c r="H15">
        <v>0.18459999999999999</v>
      </c>
      <c r="I15">
        <v>17</v>
      </c>
      <c r="J15">
        <v>171030</v>
      </c>
      <c r="K15" s="1">
        <v>42853</v>
      </c>
      <c r="L15" s="1">
        <v>42855</v>
      </c>
      <c r="M15">
        <v>157</v>
      </c>
      <c r="N15">
        <v>167</v>
      </c>
      <c r="O15">
        <v>243</v>
      </c>
      <c r="P15">
        <v>253</v>
      </c>
      <c r="Q15">
        <v>4417</v>
      </c>
      <c r="R15">
        <v>1075</v>
      </c>
      <c r="S15">
        <f t="shared" si="0"/>
        <v>1.7083999999999999</v>
      </c>
      <c r="T15">
        <f t="shared" si="1"/>
        <v>5.8099999999999999E-2</v>
      </c>
      <c r="U15">
        <f t="shared" si="2"/>
        <v>109</v>
      </c>
      <c r="V15">
        <v>14</v>
      </c>
    </row>
    <row r="16" spans="1:22" x14ac:dyDescent="0.2">
      <c r="A16" s="38" t="s">
        <v>138</v>
      </c>
      <c r="B16" s="36" t="s">
        <v>30</v>
      </c>
      <c r="C16" s="12">
        <v>17.5</v>
      </c>
      <c r="D16" s="12">
        <v>18</v>
      </c>
      <c r="E16">
        <v>0.50649999999999995</v>
      </c>
      <c r="F16">
        <v>0.99209999999999998</v>
      </c>
      <c r="G16" s="1">
        <v>42768</v>
      </c>
      <c r="H16" s="11">
        <v>0.1721</v>
      </c>
      <c r="I16">
        <v>21</v>
      </c>
      <c r="J16">
        <v>235180</v>
      </c>
      <c r="K16" s="1">
        <v>42768</v>
      </c>
      <c r="L16" s="1">
        <v>42771</v>
      </c>
      <c r="M16">
        <v>154</v>
      </c>
      <c r="N16">
        <v>164</v>
      </c>
      <c r="O16">
        <v>240</v>
      </c>
      <c r="P16">
        <v>250</v>
      </c>
      <c r="Q16">
        <v>5751</v>
      </c>
      <c r="R16">
        <v>1397</v>
      </c>
      <c r="S16">
        <f t="shared" si="0"/>
        <v>1.9652000000000001</v>
      </c>
      <c r="T16">
        <f t="shared" si="1"/>
        <v>5.8599999999999999E-2</v>
      </c>
      <c r="U16">
        <f t="shared" si="2"/>
        <v>103</v>
      </c>
      <c r="V16">
        <v>15</v>
      </c>
    </row>
    <row r="17" spans="1:22" x14ac:dyDescent="0.2">
      <c r="A17" s="38" t="s">
        <v>138</v>
      </c>
      <c r="B17" s="36" t="s">
        <v>91</v>
      </c>
      <c r="C17" s="12">
        <v>22.5</v>
      </c>
      <c r="D17" s="12">
        <v>23</v>
      </c>
      <c r="E17">
        <v>0.50770000000000004</v>
      </c>
      <c r="F17" s="11">
        <v>0.98699999999999999</v>
      </c>
      <c r="G17" s="1">
        <v>42784</v>
      </c>
      <c r="H17">
        <v>0.1552</v>
      </c>
      <c r="I17">
        <v>2</v>
      </c>
      <c r="J17">
        <v>491390</v>
      </c>
      <c r="K17" s="1">
        <v>42784</v>
      </c>
      <c r="L17" s="1">
        <v>42790</v>
      </c>
      <c r="M17">
        <v>159</v>
      </c>
      <c r="N17">
        <v>171</v>
      </c>
      <c r="O17">
        <v>246</v>
      </c>
      <c r="P17">
        <v>258</v>
      </c>
      <c r="Q17">
        <v>12493</v>
      </c>
      <c r="R17">
        <v>2584</v>
      </c>
      <c r="S17">
        <f t="shared" si="0"/>
        <v>1.6728000000000001</v>
      </c>
      <c r="T17" s="11">
        <f t="shared" si="1"/>
        <v>3.6200000000000003E-2</v>
      </c>
      <c r="U17">
        <f t="shared" si="2"/>
        <v>110</v>
      </c>
      <c r="V17">
        <v>16</v>
      </c>
    </row>
    <row r="18" spans="1:22" x14ac:dyDescent="0.2">
      <c r="A18" s="38" t="s">
        <v>138</v>
      </c>
      <c r="B18" s="36" t="s">
        <v>31</v>
      </c>
      <c r="C18" s="12">
        <v>26.5</v>
      </c>
      <c r="D18" s="12">
        <v>27</v>
      </c>
      <c r="E18">
        <v>0.54279999999999995</v>
      </c>
      <c r="F18">
        <v>0.99239999999999995</v>
      </c>
      <c r="G18" s="1">
        <v>42768</v>
      </c>
      <c r="H18" s="11">
        <v>0.18</v>
      </c>
      <c r="I18">
        <v>22</v>
      </c>
      <c r="J18">
        <v>235320</v>
      </c>
      <c r="K18" s="1">
        <v>42768</v>
      </c>
      <c r="L18" s="1">
        <v>42771</v>
      </c>
      <c r="M18">
        <v>155</v>
      </c>
      <c r="N18">
        <v>167</v>
      </c>
      <c r="O18">
        <v>241</v>
      </c>
      <c r="P18">
        <v>253</v>
      </c>
      <c r="Q18">
        <v>5835</v>
      </c>
      <c r="R18">
        <v>1282</v>
      </c>
      <c r="S18">
        <f t="shared" si="0"/>
        <v>1.6608000000000001</v>
      </c>
      <c r="T18">
        <f t="shared" si="1"/>
        <v>5.1200000000000002E-2</v>
      </c>
      <c r="U18">
        <f t="shared" si="2"/>
        <v>105</v>
      </c>
      <c r="V18">
        <v>17</v>
      </c>
    </row>
    <row r="19" spans="1:22" x14ac:dyDescent="0.2">
      <c r="A19" s="38" t="s">
        <v>138</v>
      </c>
      <c r="B19" s="36" t="s">
        <v>32</v>
      </c>
      <c r="C19" s="12">
        <v>29</v>
      </c>
      <c r="D19" s="12">
        <v>29.5</v>
      </c>
      <c r="E19">
        <v>0.5212</v>
      </c>
      <c r="F19">
        <v>0.99109999999999998</v>
      </c>
      <c r="G19" s="1">
        <v>42768</v>
      </c>
      <c r="H19" s="11">
        <v>0.18160000000000001</v>
      </c>
      <c r="I19">
        <v>23</v>
      </c>
      <c r="J19">
        <v>235450</v>
      </c>
      <c r="K19" s="1">
        <v>42768</v>
      </c>
      <c r="L19" s="1">
        <v>42771</v>
      </c>
      <c r="M19">
        <v>156</v>
      </c>
      <c r="N19">
        <v>167</v>
      </c>
      <c r="O19">
        <v>243</v>
      </c>
      <c r="P19">
        <v>254</v>
      </c>
      <c r="Q19">
        <v>6094</v>
      </c>
      <c r="R19">
        <v>1259</v>
      </c>
      <c r="S19">
        <f t="shared" si="0"/>
        <v>1.6236999999999999</v>
      </c>
      <c r="T19">
        <f t="shared" si="1"/>
        <v>5.0299999999999997E-2</v>
      </c>
      <c r="U19">
        <f t="shared" si="2"/>
        <v>107</v>
      </c>
      <c r="V19">
        <v>18</v>
      </c>
    </row>
    <row r="20" spans="1:22" x14ac:dyDescent="0.2">
      <c r="A20" s="38" t="s">
        <v>138</v>
      </c>
      <c r="B20" s="36" t="s">
        <v>33</v>
      </c>
      <c r="C20" s="12">
        <v>30</v>
      </c>
      <c r="D20" s="12">
        <v>30.5</v>
      </c>
      <c r="E20">
        <v>0.52880000000000005</v>
      </c>
      <c r="F20">
        <v>0.98960000000000004</v>
      </c>
      <c r="G20" s="1">
        <v>42768</v>
      </c>
      <c r="H20" s="11">
        <v>0.33429999999999999</v>
      </c>
      <c r="I20">
        <v>24</v>
      </c>
      <c r="J20">
        <v>235559</v>
      </c>
      <c r="K20" s="1">
        <v>42768</v>
      </c>
      <c r="L20" s="1">
        <v>42771</v>
      </c>
      <c r="M20">
        <v>160</v>
      </c>
      <c r="N20">
        <v>171</v>
      </c>
      <c r="O20">
        <v>247</v>
      </c>
      <c r="P20">
        <v>258</v>
      </c>
      <c r="Q20">
        <v>5935</v>
      </c>
      <c r="R20">
        <v>1307</v>
      </c>
      <c r="S20">
        <f t="shared" si="0"/>
        <v>1.7036</v>
      </c>
      <c r="T20">
        <f t="shared" si="1"/>
        <v>5.21E-2</v>
      </c>
      <c r="U20">
        <f t="shared" si="2"/>
        <v>107</v>
      </c>
      <c r="V20">
        <v>19</v>
      </c>
    </row>
    <row r="21" spans="1:22" x14ac:dyDescent="0.2">
      <c r="A21" s="38" t="s">
        <v>138</v>
      </c>
      <c r="B21" s="36" t="s">
        <v>34</v>
      </c>
      <c r="C21" s="12">
        <v>32.5</v>
      </c>
      <c r="D21" s="12">
        <v>33</v>
      </c>
      <c r="E21">
        <v>0.5212</v>
      </c>
      <c r="F21" s="11">
        <v>0.99199999999999999</v>
      </c>
      <c r="G21" s="1">
        <v>42768</v>
      </c>
      <c r="H21" s="11">
        <v>0.24959999999999999</v>
      </c>
      <c r="I21">
        <v>16</v>
      </c>
      <c r="J21">
        <v>235750</v>
      </c>
      <c r="K21" s="1">
        <v>42768</v>
      </c>
      <c r="L21" s="1">
        <v>42771</v>
      </c>
      <c r="M21">
        <v>139</v>
      </c>
      <c r="N21">
        <v>149</v>
      </c>
      <c r="O21">
        <v>224</v>
      </c>
      <c r="P21">
        <v>234</v>
      </c>
      <c r="Q21">
        <v>5803</v>
      </c>
      <c r="R21">
        <v>1158</v>
      </c>
      <c r="S21">
        <f t="shared" si="0"/>
        <v>1.5724</v>
      </c>
      <c r="T21">
        <f t="shared" si="1"/>
        <v>5.0599999999999999E-2</v>
      </c>
      <c r="U21">
        <f t="shared" si="2"/>
        <v>100</v>
      </c>
      <c r="V21">
        <v>20</v>
      </c>
    </row>
  </sheetData>
  <sortState xmlns:xlrd2="http://schemas.microsoft.com/office/spreadsheetml/2017/richdata2" ref="B2:V21">
    <sortCondition ref="D1"/>
  </sortState>
  <phoneticPr fontId="3" type="noConversion"/>
  <printOptions horizontalCentered="1" verticalCentered="1" gridLines="1"/>
  <pageMargins left="0.5" right="0.5" top="1" bottom="1" header="0.5" footer="0.5"/>
  <pageSetup orientation="landscape" horizontalDpi="4294967292" verticalDpi="4294967292"/>
  <headerFooter>
    <oddHeader xml:space="preserve">&amp;C&amp;BMirror Lake, Utah:  MIR01&amp;R&amp;BCoring Date:  6/23/2020  </oddHeader>
    <oddFooter>&amp;L&amp;B&amp;D&amp;C&amp;BLead-210: Raw Data&amp;R&amp;BPage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workbookViewId="0">
      <selection activeCell="D55" sqref="D55"/>
    </sheetView>
  </sheetViews>
  <sheetFormatPr baseColWidth="10" defaultRowHeight="14" x14ac:dyDescent="0.2"/>
  <sheetData>
    <row r="1" spans="1:6" x14ac:dyDescent="0.2">
      <c r="A1" s="3" t="s">
        <v>7</v>
      </c>
      <c r="B1" s="3" t="s">
        <v>8</v>
      </c>
      <c r="C1" s="3" t="s">
        <v>9</v>
      </c>
      <c r="D1" s="3" t="s">
        <v>10</v>
      </c>
      <c r="E1" s="3" t="s">
        <v>11</v>
      </c>
      <c r="F1" s="3" t="s">
        <v>12</v>
      </c>
    </row>
    <row r="2" spans="1:6" x14ac:dyDescent="0.2">
      <c r="A2" s="4">
        <v>1</v>
      </c>
      <c r="B2" s="5">
        <v>1.7099999999999999E-3</v>
      </c>
      <c r="C2" s="5">
        <v>6.3000000000000003E-4</v>
      </c>
      <c r="D2" s="6">
        <v>41269</v>
      </c>
      <c r="E2" s="7">
        <v>15.98</v>
      </c>
      <c r="F2" s="6">
        <v>41255</v>
      </c>
    </row>
    <row r="3" spans="1:6" x14ac:dyDescent="0.2">
      <c r="A3" s="8">
        <v>2</v>
      </c>
      <c r="B3" s="9">
        <v>8.4000000000000003E-4</v>
      </c>
      <c r="C3" s="9">
        <v>4.4999999999999999E-4</v>
      </c>
      <c r="D3" s="1">
        <v>42721</v>
      </c>
      <c r="E3" s="10">
        <v>15.44</v>
      </c>
      <c r="F3" s="1">
        <v>42707</v>
      </c>
    </row>
    <row r="4" spans="1:6" x14ac:dyDescent="0.2">
      <c r="A4">
        <v>3</v>
      </c>
      <c r="B4" s="11">
        <v>2.3900000000000002E-3</v>
      </c>
      <c r="C4" s="11">
        <v>0</v>
      </c>
      <c r="D4" s="1">
        <v>42721</v>
      </c>
      <c r="E4" s="12">
        <v>15.61</v>
      </c>
      <c r="F4" s="1">
        <v>42707</v>
      </c>
    </row>
    <row r="5" spans="1:6" x14ac:dyDescent="0.2">
      <c r="A5" s="8">
        <v>4</v>
      </c>
      <c r="B5" s="9">
        <v>1.23E-3</v>
      </c>
      <c r="C5" s="9">
        <v>1.2999999999999999E-4</v>
      </c>
      <c r="D5" s="1">
        <v>42721</v>
      </c>
      <c r="E5" s="10">
        <v>15.96</v>
      </c>
      <c r="F5" s="1">
        <v>42707</v>
      </c>
    </row>
    <row r="6" spans="1:6" x14ac:dyDescent="0.2">
      <c r="A6" s="8">
        <v>5</v>
      </c>
      <c r="B6" s="9">
        <v>1.6100000000000001E-3</v>
      </c>
      <c r="C6" s="9">
        <v>1.2999999999999999E-4</v>
      </c>
      <c r="D6" s="1">
        <v>42721</v>
      </c>
      <c r="E6" s="10">
        <v>17.37</v>
      </c>
      <c r="F6" s="1">
        <v>42707</v>
      </c>
    </row>
    <row r="7" spans="1:6" x14ac:dyDescent="0.2">
      <c r="A7" s="8">
        <v>6</v>
      </c>
      <c r="B7" s="9">
        <v>1.1000000000000001E-3</v>
      </c>
      <c r="C7" s="9">
        <v>1.9000000000000001E-4</v>
      </c>
      <c r="D7" s="1">
        <v>42721</v>
      </c>
      <c r="E7" s="10">
        <v>16.36</v>
      </c>
      <c r="F7" s="1">
        <v>42707</v>
      </c>
    </row>
    <row r="8" spans="1:6" x14ac:dyDescent="0.2">
      <c r="A8" s="8">
        <v>7</v>
      </c>
      <c r="B8" s="9">
        <v>6.4999999999999997E-4</v>
      </c>
      <c r="C8" s="9">
        <v>1.2999999999999999E-4</v>
      </c>
      <c r="D8" s="1">
        <v>42721</v>
      </c>
      <c r="E8" s="10">
        <v>16.3</v>
      </c>
      <c r="F8" s="1">
        <v>42707</v>
      </c>
    </row>
    <row r="9" spans="1:6" x14ac:dyDescent="0.2">
      <c r="A9" s="8">
        <v>8</v>
      </c>
      <c r="B9" s="9">
        <v>2.8999999999999998E-3</v>
      </c>
      <c r="C9" s="9">
        <v>6.0000000000000002E-5</v>
      </c>
      <c r="D9" s="1">
        <v>42721</v>
      </c>
      <c r="E9" s="10">
        <v>15.46</v>
      </c>
      <c r="F9" s="1">
        <v>42712</v>
      </c>
    </row>
    <row r="10" spans="1:6" x14ac:dyDescent="0.2">
      <c r="A10" s="8">
        <v>9</v>
      </c>
      <c r="B10" s="9">
        <v>1.23E-3</v>
      </c>
      <c r="C10" s="9">
        <v>2.3000000000000001E-4</v>
      </c>
      <c r="D10" s="1">
        <v>42735</v>
      </c>
      <c r="E10" s="10">
        <v>16.2</v>
      </c>
      <c r="F10" s="1">
        <v>42712</v>
      </c>
    </row>
    <row r="11" spans="1:6" x14ac:dyDescent="0.2">
      <c r="A11" s="8">
        <v>10</v>
      </c>
      <c r="B11" s="9">
        <v>1E-3</v>
      </c>
      <c r="C11" s="9">
        <v>3.5E-4</v>
      </c>
      <c r="D11" s="1">
        <v>42735</v>
      </c>
      <c r="E11" s="10">
        <v>16.170000000000002</v>
      </c>
      <c r="F11" s="1">
        <v>42712</v>
      </c>
    </row>
    <row r="12" spans="1:6" x14ac:dyDescent="0.2">
      <c r="A12">
        <v>11</v>
      </c>
      <c r="B12" s="11">
        <v>1.17E-3</v>
      </c>
      <c r="C12" s="11">
        <v>2.9E-4</v>
      </c>
      <c r="D12" s="1">
        <v>42735</v>
      </c>
      <c r="E12" s="10">
        <v>16.47</v>
      </c>
      <c r="F12" s="1">
        <v>42713</v>
      </c>
    </row>
    <row r="13" spans="1:6" x14ac:dyDescent="0.2">
      <c r="A13">
        <v>12</v>
      </c>
      <c r="B13" s="11">
        <v>1.1100000000000001E-3</v>
      </c>
      <c r="C13" s="11">
        <v>4.0999999999999999E-4</v>
      </c>
      <c r="D13" s="1">
        <v>42735</v>
      </c>
      <c r="E13" s="12">
        <v>16.02</v>
      </c>
      <c r="F13" s="1">
        <v>42713</v>
      </c>
    </row>
    <row r="14" spans="1:6" x14ac:dyDescent="0.2">
      <c r="A14" s="8">
        <v>13</v>
      </c>
      <c r="B14" s="9">
        <v>2.1700000000000001E-3</v>
      </c>
      <c r="C14" s="9">
        <v>3.5E-4</v>
      </c>
      <c r="D14" s="1">
        <v>42735</v>
      </c>
      <c r="E14" s="10">
        <v>15.64</v>
      </c>
      <c r="F14" s="1">
        <v>42713</v>
      </c>
    </row>
    <row r="15" spans="1:6" x14ac:dyDescent="0.2">
      <c r="A15" s="8">
        <v>14</v>
      </c>
      <c r="B15" s="9">
        <v>2.3999999999999998E-3</v>
      </c>
      <c r="C15" s="9">
        <v>3.5E-4</v>
      </c>
      <c r="D15" s="1">
        <v>42735</v>
      </c>
      <c r="E15" s="10">
        <v>15.51</v>
      </c>
      <c r="F15" s="1">
        <v>42713</v>
      </c>
    </row>
    <row r="16" spans="1:6" x14ac:dyDescent="0.2">
      <c r="A16">
        <v>15</v>
      </c>
      <c r="B16" s="11">
        <v>2.1099999999999999E-3</v>
      </c>
      <c r="C16" s="11">
        <v>2.9E-4</v>
      </c>
      <c r="D16" s="1">
        <v>42735</v>
      </c>
      <c r="E16" s="12">
        <v>15.7</v>
      </c>
      <c r="F16" s="1">
        <v>42713</v>
      </c>
    </row>
    <row r="17" spans="1:6" x14ac:dyDescent="0.2">
      <c r="A17" s="8">
        <v>16</v>
      </c>
      <c r="B17" s="9">
        <v>2.81E-3</v>
      </c>
      <c r="C17" s="9">
        <v>1.2E-4</v>
      </c>
      <c r="D17" s="1">
        <v>42735</v>
      </c>
      <c r="E17" s="10">
        <v>16.25</v>
      </c>
      <c r="F17" s="1">
        <v>42713</v>
      </c>
    </row>
    <row r="18" spans="1:6" x14ac:dyDescent="0.2">
      <c r="A18" s="8">
        <v>17</v>
      </c>
      <c r="B18" s="9">
        <v>5.4000000000000001E-4</v>
      </c>
      <c r="C18" s="9">
        <v>1.1E-4</v>
      </c>
      <c r="D18" s="1">
        <v>42736</v>
      </c>
      <c r="E18" s="10">
        <v>15.59</v>
      </c>
      <c r="F18" s="1">
        <v>42715</v>
      </c>
    </row>
    <row r="19" spans="1:6" x14ac:dyDescent="0.2">
      <c r="A19" s="8">
        <v>18</v>
      </c>
      <c r="B19" s="9">
        <v>4.8999999999999998E-4</v>
      </c>
      <c r="C19" s="9">
        <v>5.0000000000000002E-5</v>
      </c>
      <c r="D19" s="1">
        <v>42736</v>
      </c>
      <c r="E19" s="10">
        <v>15.37</v>
      </c>
      <c r="F19" s="1">
        <v>42715</v>
      </c>
    </row>
    <row r="20" spans="1:6" x14ac:dyDescent="0.2">
      <c r="A20" s="8">
        <v>19</v>
      </c>
      <c r="B20" s="9">
        <v>7.6000000000000004E-4</v>
      </c>
      <c r="C20" s="9">
        <v>4.4000000000000002E-4</v>
      </c>
      <c r="D20" s="1">
        <v>42736</v>
      </c>
      <c r="E20" s="10">
        <v>15.61</v>
      </c>
      <c r="F20" s="1">
        <v>42715</v>
      </c>
    </row>
    <row r="21" spans="1:6" x14ac:dyDescent="0.2">
      <c r="A21">
        <v>20</v>
      </c>
      <c r="B21" s="11">
        <v>4.4000000000000002E-4</v>
      </c>
      <c r="C21" s="11">
        <v>5.0000000000000002E-5</v>
      </c>
      <c r="D21" s="1">
        <v>42736</v>
      </c>
      <c r="E21" s="10">
        <v>15.61</v>
      </c>
      <c r="F21" s="1">
        <v>42715</v>
      </c>
    </row>
    <row r="22" spans="1:6" x14ac:dyDescent="0.2">
      <c r="A22" s="8">
        <v>21</v>
      </c>
      <c r="B22" s="9">
        <v>2.7E-4</v>
      </c>
      <c r="C22" s="9">
        <v>3.8000000000000002E-4</v>
      </c>
      <c r="D22" s="1">
        <v>42736</v>
      </c>
      <c r="E22" s="10">
        <v>15.69</v>
      </c>
      <c r="F22" s="1">
        <v>42726</v>
      </c>
    </row>
    <row r="23" spans="1:6" x14ac:dyDescent="0.2">
      <c r="A23" s="8">
        <v>22</v>
      </c>
      <c r="B23" s="9">
        <v>4.8999999999999998E-4</v>
      </c>
      <c r="C23" s="9">
        <v>5.0000000000000002E-5</v>
      </c>
      <c r="D23" s="1">
        <v>42736</v>
      </c>
      <c r="E23" s="10">
        <v>15.66</v>
      </c>
      <c r="F23" s="1">
        <v>42726</v>
      </c>
    </row>
    <row r="24" spans="1:6" x14ac:dyDescent="0.2">
      <c r="A24" s="8">
        <v>23</v>
      </c>
      <c r="B24" s="9">
        <v>7.1000000000000002E-4</v>
      </c>
      <c r="C24" s="9">
        <v>2.2000000000000001E-4</v>
      </c>
      <c r="D24" s="1">
        <v>42736</v>
      </c>
      <c r="E24" s="10">
        <v>16.010000000000002</v>
      </c>
      <c r="F24" s="1">
        <v>42726</v>
      </c>
    </row>
    <row r="25" spans="1:6" x14ac:dyDescent="0.2">
      <c r="A25" s="8">
        <v>24</v>
      </c>
      <c r="B25" s="9">
        <v>6.4999999999999997E-4</v>
      </c>
      <c r="C25" s="9">
        <v>1.6000000000000001E-4</v>
      </c>
      <c r="D25" s="1">
        <v>42736</v>
      </c>
      <c r="E25" s="10">
        <v>15.6</v>
      </c>
      <c r="F25" s="1">
        <v>42726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78"/>
  <sheetViews>
    <sheetView workbookViewId="0">
      <selection activeCell="Z55" sqref="Z55"/>
    </sheetView>
  </sheetViews>
  <sheetFormatPr baseColWidth="10" defaultRowHeight="14" x14ac:dyDescent="0.2"/>
  <cols>
    <col min="1" max="1" width="15.7109375" customWidth="1"/>
    <col min="2" max="7" width="10.7109375" customWidth="1"/>
    <col min="22" max="35" width="7.28515625" customWidth="1"/>
  </cols>
  <sheetData>
    <row r="1" spans="1:35" x14ac:dyDescent="0.2">
      <c r="A1" t="s">
        <v>0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t="s">
        <v>14</v>
      </c>
      <c r="I1" t="s">
        <v>45</v>
      </c>
      <c r="J1" t="s">
        <v>46</v>
      </c>
      <c r="K1" t="s">
        <v>47</v>
      </c>
      <c r="L1" t="s">
        <v>48</v>
      </c>
      <c r="M1" t="s">
        <v>90</v>
      </c>
      <c r="N1" t="s">
        <v>49</v>
      </c>
      <c r="O1" t="s">
        <v>50</v>
      </c>
      <c r="P1" t="s">
        <v>51</v>
      </c>
      <c r="Q1" t="s">
        <v>52</v>
      </c>
      <c r="R1" t="s">
        <v>53</v>
      </c>
      <c r="S1" t="s">
        <v>54</v>
      </c>
      <c r="T1" t="s">
        <v>55</v>
      </c>
      <c r="U1" s="38" t="s">
        <v>138</v>
      </c>
      <c r="V1" s="32" t="s">
        <v>63</v>
      </c>
      <c r="W1" s="32" t="s">
        <v>65</v>
      </c>
      <c r="X1" s="32" t="s">
        <v>66</v>
      </c>
      <c r="Y1" s="32" t="s">
        <v>67</v>
      </c>
      <c r="Z1" s="32" t="s">
        <v>68</v>
      </c>
      <c r="AA1" s="32" t="s">
        <v>70</v>
      </c>
      <c r="AB1" s="32" t="s">
        <v>73</v>
      </c>
      <c r="AC1" s="32" t="s">
        <v>68</v>
      </c>
      <c r="AD1" s="32" t="s">
        <v>75</v>
      </c>
      <c r="AE1" s="32" t="s">
        <v>78</v>
      </c>
      <c r="AF1" s="32" t="s">
        <v>80</v>
      </c>
      <c r="AG1" s="32" t="s">
        <v>82</v>
      </c>
      <c r="AH1" s="32" t="s">
        <v>83</v>
      </c>
      <c r="AI1" s="32" t="s">
        <v>68</v>
      </c>
    </row>
    <row r="2" spans="1:35" x14ac:dyDescent="0.2">
      <c r="A2" t="s">
        <v>1</v>
      </c>
      <c r="B2" t="s">
        <v>56</v>
      </c>
      <c r="C2" s="38" t="s">
        <v>138</v>
      </c>
      <c r="D2" s="38" t="s">
        <v>138</v>
      </c>
      <c r="E2" s="38" t="s">
        <v>138</v>
      </c>
      <c r="F2" t="s">
        <v>57</v>
      </c>
      <c r="G2" s="38" t="s">
        <v>138</v>
      </c>
      <c r="H2" s="38" t="s">
        <v>138</v>
      </c>
      <c r="I2" s="38" t="s">
        <v>138</v>
      </c>
      <c r="J2" s="38" t="s">
        <v>138</v>
      </c>
      <c r="K2" s="38" t="s">
        <v>138</v>
      </c>
      <c r="L2" s="38" t="s">
        <v>138</v>
      </c>
      <c r="M2" s="38" t="s">
        <v>138</v>
      </c>
      <c r="N2" s="38" t="s">
        <v>138</v>
      </c>
      <c r="O2" s="38" t="s">
        <v>138</v>
      </c>
      <c r="P2" s="38" t="s">
        <v>138</v>
      </c>
      <c r="Q2" s="38" t="s">
        <v>138</v>
      </c>
      <c r="R2" s="38" t="s">
        <v>138</v>
      </c>
      <c r="S2" s="38" t="s">
        <v>138</v>
      </c>
      <c r="T2" s="38" t="s">
        <v>138</v>
      </c>
      <c r="U2" s="38" t="s">
        <v>138</v>
      </c>
      <c r="V2" s="32" t="s">
        <v>64</v>
      </c>
      <c r="W2" s="32" t="s">
        <v>64</v>
      </c>
      <c r="X2" s="32" t="s">
        <v>64</v>
      </c>
      <c r="Y2" s="32" t="s">
        <v>22</v>
      </c>
      <c r="Z2" s="32" t="s">
        <v>69</v>
      </c>
      <c r="AA2" s="32" t="s">
        <v>71</v>
      </c>
      <c r="AB2" s="32" t="s">
        <v>22</v>
      </c>
      <c r="AC2" s="32" t="s">
        <v>74</v>
      </c>
      <c r="AD2" s="32" t="s">
        <v>76</v>
      </c>
      <c r="AE2" s="32" t="s">
        <v>79</v>
      </c>
      <c r="AF2" s="32" t="s">
        <v>81</v>
      </c>
      <c r="AG2" s="32" t="s">
        <v>81</v>
      </c>
      <c r="AH2" s="32" t="s">
        <v>84</v>
      </c>
      <c r="AI2" s="32" t="s">
        <v>84</v>
      </c>
    </row>
    <row r="3" spans="1:35" x14ac:dyDescent="0.2">
      <c r="A3" t="s">
        <v>2</v>
      </c>
      <c r="B3" t="s">
        <v>39</v>
      </c>
      <c r="C3" t="s">
        <v>40</v>
      </c>
      <c r="D3" t="s">
        <v>41</v>
      </c>
      <c r="E3" t="s">
        <v>42</v>
      </c>
      <c r="F3" t="s">
        <v>43</v>
      </c>
      <c r="G3" t="s">
        <v>44</v>
      </c>
      <c r="H3" t="s">
        <v>14</v>
      </c>
      <c r="I3" t="s">
        <v>45</v>
      </c>
      <c r="J3" t="s">
        <v>46</v>
      </c>
      <c r="K3" t="s">
        <v>47</v>
      </c>
      <c r="L3" t="s">
        <v>48</v>
      </c>
      <c r="M3" t="s">
        <v>58</v>
      </c>
      <c r="N3" t="s">
        <v>49</v>
      </c>
      <c r="O3" t="s">
        <v>50</v>
      </c>
      <c r="P3" t="s">
        <v>51</v>
      </c>
      <c r="Q3" t="s">
        <v>52</v>
      </c>
      <c r="R3" t="s">
        <v>53</v>
      </c>
      <c r="S3" t="s">
        <v>54</v>
      </c>
      <c r="T3" t="s">
        <v>55</v>
      </c>
      <c r="U3" s="38" t="s">
        <v>138</v>
      </c>
      <c r="V3" s="33" t="s">
        <v>24</v>
      </c>
      <c r="W3" s="34" t="s">
        <v>24</v>
      </c>
      <c r="X3" s="34" t="s">
        <v>24</v>
      </c>
      <c r="Y3" s="34" t="s">
        <v>25</v>
      </c>
      <c r="Z3" s="34" t="s">
        <v>26</v>
      </c>
      <c r="AA3" s="34" t="s">
        <v>72</v>
      </c>
      <c r="AB3" s="34" t="s">
        <v>25</v>
      </c>
      <c r="AC3" s="34" t="s">
        <v>26</v>
      </c>
      <c r="AD3" s="34" t="s">
        <v>77</v>
      </c>
      <c r="AE3" s="34" t="s">
        <v>26</v>
      </c>
      <c r="AF3" s="39" t="s">
        <v>77</v>
      </c>
      <c r="AG3" s="39" t="s">
        <v>77</v>
      </c>
      <c r="AH3" s="34" t="s">
        <v>85</v>
      </c>
      <c r="AI3" s="35" t="s">
        <v>26</v>
      </c>
    </row>
    <row r="4" spans="1:35" x14ac:dyDescent="0.2">
      <c r="A4" s="20">
        <v>42543</v>
      </c>
      <c r="B4" t="s">
        <v>139</v>
      </c>
      <c r="C4" t="s">
        <v>139</v>
      </c>
      <c r="D4" t="s">
        <v>139</v>
      </c>
      <c r="E4" t="s">
        <v>139</v>
      </c>
      <c r="F4" t="s">
        <v>139</v>
      </c>
      <c r="G4" t="s">
        <v>139</v>
      </c>
      <c r="H4" t="s">
        <v>139</v>
      </c>
      <c r="I4">
        <v>0</v>
      </c>
      <c r="J4">
        <v>0</v>
      </c>
      <c r="K4">
        <v>0</v>
      </c>
      <c r="L4">
        <v>0</v>
      </c>
      <c r="M4">
        <f t="shared" ref="M4:M31" si="0">ROUND(M5+L5,4)</f>
        <v>22.4985</v>
      </c>
      <c r="N4">
        <f t="shared" ref="N4:N31" si="1">SQRT(N5^2+(K5*H5*(E5-D5))^2)</f>
        <v>1.7109665858596159</v>
      </c>
      <c r="O4">
        <v>0</v>
      </c>
      <c r="P4">
        <f>(N4/k/Ao)^2</f>
        <v>5.9640147848997698</v>
      </c>
      <c r="Q4">
        <f t="shared" ref="Q4:Q31" si="2">ROUND(2000-(35064-Coring_Date)/365.25-O4,1)</f>
        <v>2020.5</v>
      </c>
      <c r="R4" t="s">
        <v>139</v>
      </c>
      <c r="S4" t="s">
        <v>139</v>
      </c>
      <c r="T4" t="s">
        <v>139</v>
      </c>
      <c r="U4" s="38" t="s">
        <v>138</v>
      </c>
      <c r="V4" s="43" t="s">
        <v>138</v>
      </c>
      <c r="W4" s="38" t="s">
        <v>138</v>
      </c>
      <c r="X4" s="38" t="s">
        <v>138</v>
      </c>
      <c r="Y4" s="38" t="s">
        <v>138</v>
      </c>
      <c r="Z4" s="38" t="s">
        <v>138</v>
      </c>
      <c r="AA4" s="38" t="s">
        <v>138</v>
      </c>
      <c r="AB4" s="38" t="s">
        <v>138</v>
      </c>
      <c r="AC4" s="38" t="s">
        <v>138</v>
      </c>
      <c r="AD4" s="38" t="s">
        <v>138</v>
      </c>
      <c r="AE4" s="38" t="s">
        <v>138</v>
      </c>
      <c r="AF4" s="38" t="s">
        <v>138</v>
      </c>
      <c r="AG4" s="38" t="s">
        <v>138</v>
      </c>
      <c r="AH4" s="38" t="s">
        <v>138</v>
      </c>
      <c r="AI4" s="42" t="s">
        <v>138</v>
      </c>
    </row>
    <row r="5" spans="1:35" x14ac:dyDescent="0.2">
      <c r="A5">
        <v>15</v>
      </c>
      <c r="B5" t="s">
        <v>139</v>
      </c>
      <c r="C5">
        <v>1</v>
      </c>
      <c r="D5">
        <v>0</v>
      </c>
      <c r="E5">
        <v>0.5</v>
      </c>
      <c r="F5">
        <v>46.62</v>
      </c>
      <c r="G5">
        <v>1.0175000000000001</v>
      </c>
      <c r="H5">
        <v>7.9200000000000007E-2</v>
      </c>
      <c r="I5">
        <f t="shared" ref="I5:I32" si="3">ROUND(I4+H5*(E5-D5),4)</f>
        <v>3.9600000000000003E-2</v>
      </c>
      <c r="J5">
        <f t="shared" ref="J5:J32" si="4">F5-$A$8</f>
        <v>44.969799999999999</v>
      </c>
      <c r="K5">
        <f t="shared" ref="K5:K32" si="5">ROUND(SQRT(G5^2+$A$9^2),4)</f>
        <v>1.0179</v>
      </c>
      <c r="L5">
        <f t="shared" ref="L5:L32" si="6">J5*H5*(E5-D5)</f>
        <v>1.78080408</v>
      </c>
      <c r="M5">
        <f t="shared" si="0"/>
        <v>20.717700000000001</v>
      </c>
      <c r="N5">
        <f t="shared" si="1"/>
        <v>1.7104916998763731</v>
      </c>
      <c r="O5">
        <f t="shared" ref="O5:O31" si="7">ROUND(1/k*LN($A$11/M5),2)</f>
        <v>2.65</v>
      </c>
      <c r="P5">
        <f t="shared" ref="P5:P31" si="8">ROUND(SQRT(delAo+(N5/k/M5)^2),2)</f>
        <v>3.6</v>
      </c>
      <c r="Q5">
        <f t="shared" si="2"/>
        <v>2017.8</v>
      </c>
      <c r="R5">
        <f t="shared" ref="R5:R31" si="9">AVERAGE(Q4,Q5)</f>
        <v>2019.15</v>
      </c>
      <c r="S5">
        <f t="shared" ref="S5:S31" si="10">ROUND((I5-I4)*k/LN(M4/M5),4)</f>
        <v>1.4999999999999999E-2</v>
      </c>
      <c r="T5">
        <f t="shared" ref="T5:T31" si="11">ROUND(S5*L5/LN(M4/M5)/M4*SQRT((K5*H5*(E5-D5)/L5)^2+(N5/M5)^2),5)</f>
        <v>1.23E-3</v>
      </c>
      <c r="U5" s="38" t="s">
        <v>138</v>
      </c>
      <c r="V5" s="24">
        <v>0</v>
      </c>
      <c r="W5">
        <v>0.5</v>
      </c>
      <c r="X5">
        <v>0.25</v>
      </c>
      <c r="Y5" s="26">
        <v>46.62</v>
      </c>
      <c r="Z5" s="26">
        <v>1.0175000000000001</v>
      </c>
      <c r="AA5" s="26">
        <v>3.9600000000000003E-2</v>
      </c>
      <c r="AB5" s="26">
        <v>44.969799999999999</v>
      </c>
      <c r="AC5" s="26">
        <v>1.0179</v>
      </c>
      <c r="AD5" s="19">
        <v>2.65</v>
      </c>
      <c r="AE5" s="19">
        <v>3.6</v>
      </c>
      <c r="AF5" s="12">
        <v>2017.8</v>
      </c>
      <c r="AG5" s="12">
        <v>2019.15</v>
      </c>
      <c r="AH5" s="11">
        <v>1.4999999999999999E-2</v>
      </c>
      <c r="AI5" s="28">
        <v>1.23E-3</v>
      </c>
    </row>
    <row r="6" spans="1:35" x14ac:dyDescent="0.2">
      <c r="A6">
        <v>5</v>
      </c>
      <c r="B6" t="s">
        <v>59</v>
      </c>
      <c r="C6">
        <f>(E6-D5)/(E7-D6+E6-D5)</f>
        <v>0.5</v>
      </c>
      <c r="D6">
        <f>E5</f>
        <v>0.5</v>
      </c>
      <c r="E6">
        <f>D7</f>
        <v>1</v>
      </c>
      <c r="F6">
        <f>ROUND(F7^C6*F5^(1-C6),4)</f>
        <v>45.552900000000001</v>
      </c>
      <c r="G6">
        <f>ROUND(SQRT((((F6-F5)/G5)^2+((F6-F7)/G7)^2+1)/(1/G5^2+1/G7^2)),4)</f>
        <v>1.2379</v>
      </c>
      <c r="H6">
        <f>(H5+H7)/2</f>
        <v>9.4799999999999995E-2</v>
      </c>
      <c r="I6">
        <f t="shared" si="3"/>
        <v>8.6999999999999994E-2</v>
      </c>
      <c r="J6">
        <f t="shared" si="4"/>
        <v>43.902700000000003</v>
      </c>
      <c r="K6">
        <f t="shared" si="5"/>
        <v>1.2383</v>
      </c>
      <c r="L6">
        <f t="shared" si="6"/>
        <v>2.0809879800000002</v>
      </c>
      <c r="M6">
        <f t="shared" si="0"/>
        <v>18.636700000000001</v>
      </c>
      <c r="N6">
        <f t="shared" si="1"/>
        <v>1.7094843383362679</v>
      </c>
      <c r="O6">
        <f t="shared" si="7"/>
        <v>6.05</v>
      </c>
      <c r="P6">
        <f t="shared" si="8"/>
        <v>3.83</v>
      </c>
      <c r="Q6">
        <f t="shared" si="2"/>
        <v>2014.4</v>
      </c>
      <c r="R6">
        <f t="shared" si="9"/>
        <v>2016.1</v>
      </c>
      <c r="S6">
        <f t="shared" si="10"/>
        <v>1.3899999999999999E-2</v>
      </c>
      <c r="T6">
        <f t="shared" si="11"/>
        <v>1.2700000000000001E-3</v>
      </c>
      <c r="U6" s="38" t="s">
        <v>138</v>
      </c>
      <c r="V6" s="24">
        <v>1</v>
      </c>
      <c r="W6">
        <v>1.5</v>
      </c>
      <c r="X6">
        <v>1.25</v>
      </c>
      <c r="Y6" s="26">
        <v>44.510199999999998</v>
      </c>
      <c r="Z6" s="26">
        <v>0.84770000000000001</v>
      </c>
      <c r="AA6" s="26">
        <v>0.14219999999999999</v>
      </c>
      <c r="AB6" s="26">
        <v>42.86</v>
      </c>
      <c r="AC6" s="26">
        <v>0.84819999999999995</v>
      </c>
      <c r="AD6" s="19">
        <v>10.41</v>
      </c>
      <c r="AE6" s="19">
        <v>4.16</v>
      </c>
      <c r="AF6" s="12">
        <v>2010.1</v>
      </c>
      <c r="AG6" s="12">
        <v>2012.25</v>
      </c>
      <c r="AH6" s="11">
        <v>1.2699999999999999E-2</v>
      </c>
      <c r="AI6" s="28">
        <v>1.2700000000000001E-3</v>
      </c>
    </row>
    <row r="7" spans="1:35" x14ac:dyDescent="0.2">
      <c r="A7" s="38" t="s">
        <v>138</v>
      </c>
      <c r="B7" t="s">
        <v>139</v>
      </c>
      <c r="C7">
        <v>2</v>
      </c>
      <c r="D7">
        <v>1</v>
      </c>
      <c r="E7">
        <v>1.5</v>
      </c>
      <c r="F7">
        <v>44.510199999999998</v>
      </c>
      <c r="G7">
        <v>0.84770000000000001</v>
      </c>
      <c r="H7">
        <v>0.1104</v>
      </c>
      <c r="I7">
        <f t="shared" si="3"/>
        <v>0.14219999999999999</v>
      </c>
      <c r="J7">
        <f t="shared" si="4"/>
        <v>42.86</v>
      </c>
      <c r="K7">
        <f t="shared" si="5"/>
        <v>0.84819999999999995</v>
      </c>
      <c r="L7">
        <f t="shared" si="6"/>
        <v>2.365872</v>
      </c>
      <c r="M7">
        <f t="shared" si="0"/>
        <v>16.270800000000001</v>
      </c>
      <c r="N7">
        <f t="shared" si="1"/>
        <v>1.7088430386337352</v>
      </c>
      <c r="O7">
        <f t="shared" si="7"/>
        <v>10.41</v>
      </c>
      <c r="P7">
        <f t="shared" si="8"/>
        <v>4.16</v>
      </c>
      <c r="Q7">
        <f t="shared" si="2"/>
        <v>2010.1</v>
      </c>
      <c r="R7">
        <f t="shared" si="9"/>
        <v>2012.25</v>
      </c>
      <c r="S7">
        <f t="shared" si="10"/>
        <v>1.2699999999999999E-2</v>
      </c>
      <c r="T7">
        <f t="shared" si="11"/>
        <v>1.2700000000000001E-3</v>
      </c>
      <c r="U7" s="38" t="s">
        <v>138</v>
      </c>
      <c r="V7" s="24">
        <v>2.5</v>
      </c>
      <c r="W7">
        <v>3</v>
      </c>
      <c r="X7">
        <v>2.75</v>
      </c>
      <c r="Y7" s="26">
        <v>24.060500000000001</v>
      </c>
      <c r="Z7" s="26">
        <v>0.73729999999999996</v>
      </c>
      <c r="AA7" s="26">
        <v>0.32319999999999999</v>
      </c>
      <c r="AB7" s="26">
        <v>22.410299999999999</v>
      </c>
      <c r="AC7" s="26">
        <v>0.7379</v>
      </c>
      <c r="AD7" s="19">
        <v>22.43</v>
      </c>
      <c r="AE7" s="19">
        <v>4.26</v>
      </c>
      <c r="AF7" s="12">
        <v>1998</v>
      </c>
      <c r="AG7" s="12">
        <v>1999.95</v>
      </c>
      <c r="AH7" s="11">
        <v>1.6500000000000001E-2</v>
      </c>
      <c r="AI7" s="28">
        <v>1.7700000000000001E-3</v>
      </c>
    </row>
    <row r="8" spans="1:35" x14ac:dyDescent="0.2">
      <c r="A8">
        <v>1.6501999999999999</v>
      </c>
      <c r="B8" t="s">
        <v>59</v>
      </c>
      <c r="C8">
        <f>(E8-D7)/(E9-D8+E8-D7)</f>
        <v>0.5</v>
      </c>
      <c r="D8">
        <f>E7</f>
        <v>1.5</v>
      </c>
      <c r="E8">
        <f>D9</f>
        <v>2.5</v>
      </c>
      <c r="F8">
        <f>ROUND(F9^C8*F7^(1-C8),4)</f>
        <v>32.725200000000001</v>
      </c>
      <c r="G8">
        <f>ROUND(SQRT((((F8-F7)/G7)^2+((F8-F9)/G9)^2+1)/(1/G7^2+1/G9^2)),4)</f>
        <v>10.1424</v>
      </c>
      <c r="H8">
        <f>(H7+H9)/2</f>
        <v>0.1181</v>
      </c>
      <c r="I8">
        <f t="shared" si="3"/>
        <v>0.26029999999999998</v>
      </c>
      <c r="J8">
        <f t="shared" si="4"/>
        <v>31.075000000000003</v>
      </c>
      <c r="K8">
        <f t="shared" si="5"/>
        <v>10.1424</v>
      </c>
      <c r="L8">
        <f t="shared" si="6"/>
        <v>3.6699575000000002</v>
      </c>
      <c r="M8">
        <f t="shared" si="0"/>
        <v>12.6008</v>
      </c>
      <c r="N8">
        <f t="shared" si="1"/>
        <v>1.2187608096418363</v>
      </c>
      <c r="O8">
        <f t="shared" si="7"/>
        <v>18.62</v>
      </c>
      <c r="P8">
        <f t="shared" si="8"/>
        <v>3.95</v>
      </c>
      <c r="Q8">
        <f t="shared" si="2"/>
        <v>2001.9</v>
      </c>
      <c r="R8">
        <f t="shared" si="9"/>
        <v>2006</v>
      </c>
      <c r="S8">
        <f t="shared" si="10"/>
        <v>1.44E-2</v>
      </c>
      <c r="T8">
        <f t="shared" si="11"/>
        <v>4.3299999999999996E-3</v>
      </c>
      <c r="U8" s="38" t="s">
        <v>138</v>
      </c>
      <c r="V8" s="24">
        <v>3.5</v>
      </c>
      <c r="W8">
        <v>4</v>
      </c>
      <c r="X8">
        <v>3.75</v>
      </c>
      <c r="Y8" s="26">
        <v>15.1348</v>
      </c>
      <c r="Z8" s="26">
        <v>0.4864</v>
      </c>
      <c r="AA8" s="26">
        <v>0.50449999999999995</v>
      </c>
      <c r="AB8" s="26">
        <v>13.4846</v>
      </c>
      <c r="AC8" s="26">
        <v>0.48730000000000001</v>
      </c>
      <c r="AD8" s="19">
        <v>31.54</v>
      </c>
      <c r="AE8" s="19">
        <v>5.07</v>
      </c>
      <c r="AF8" s="12">
        <v>1988.9</v>
      </c>
      <c r="AG8" s="12">
        <v>1991.3000000000002</v>
      </c>
      <c r="AH8" s="11">
        <v>2.1000000000000001E-2</v>
      </c>
      <c r="AI8" s="28">
        <v>2.7899999999999999E-3</v>
      </c>
    </row>
    <row r="9" spans="1:35" x14ac:dyDescent="0.2">
      <c r="A9">
        <v>2.9700000000000001E-2</v>
      </c>
      <c r="B9" t="s">
        <v>139</v>
      </c>
      <c r="C9">
        <v>3</v>
      </c>
      <c r="D9">
        <v>2.5</v>
      </c>
      <c r="E9">
        <v>3</v>
      </c>
      <c r="F9">
        <v>24.060500000000001</v>
      </c>
      <c r="G9">
        <v>0.73729999999999996</v>
      </c>
      <c r="H9">
        <v>0.1258</v>
      </c>
      <c r="I9">
        <f t="shared" si="3"/>
        <v>0.32319999999999999</v>
      </c>
      <c r="J9">
        <f t="shared" si="4"/>
        <v>22.410299999999999</v>
      </c>
      <c r="K9">
        <f t="shared" si="5"/>
        <v>0.7379</v>
      </c>
      <c r="L9">
        <f t="shared" si="6"/>
        <v>1.4096078699999999</v>
      </c>
      <c r="M9">
        <f t="shared" si="0"/>
        <v>11.1912</v>
      </c>
      <c r="N9">
        <f t="shared" si="1"/>
        <v>1.2178767015085461</v>
      </c>
      <c r="O9">
        <f t="shared" si="7"/>
        <v>22.43</v>
      </c>
      <c r="P9">
        <f t="shared" si="8"/>
        <v>4.26</v>
      </c>
      <c r="Q9">
        <f t="shared" si="2"/>
        <v>1998</v>
      </c>
      <c r="R9">
        <f t="shared" si="9"/>
        <v>1999.95</v>
      </c>
      <c r="S9">
        <f t="shared" si="10"/>
        <v>1.6500000000000001E-2</v>
      </c>
      <c r="T9">
        <f t="shared" si="11"/>
        <v>1.7700000000000001E-3</v>
      </c>
      <c r="U9" s="38" t="s">
        <v>138</v>
      </c>
      <c r="V9" s="24">
        <v>5</v>
      </c>
      <c r="W9">
        <v>5.5</v>
      </c>
      <c r="X9">
        <v>5.25</v>
      </c>
      <c r="Y9" s="26">
        <v>25.039000000000001</v>
      </c>
      <c r="Z9" s="26">
        <v>0.33850000000000002</v>
      </c>
      <c r="AA9" s="26">
        <v>0.7258</v>
      </c>
      <c r="AB9" s="26">
        <v>23.388800000000003</v>
      </c>
      <c r="AC9" s="26">
        <v>0.33979999999999999</v>
      </c>
      <c r="AD9" s="19">
        <v>54.31</v>
      </c>
      <c r="AE9" s="19">
        <v>6.74</v>
      </c>
      <c r="AF9" s="12">
        <v>1966.2</v>
      </c>
      <c r="AG9" s="12">
        <v>1970.9</v>
      </c>
      <c r="AH9" s="11">
        <v>6.4000000000000003E-3</v>
      </c>
      <c r="AI9" s="28">
        <v>1.09E-3</v>
      </c>
    </row>
    <row r="10" spans="1:35" x14ac:dyDescent="0.2">
      <c r="A10" s="38" t="s">
        <v>138</v>
      </c>
      <c r="B10" t="s">
        <v>59</v>
      </c>
      <c r="C10">
        <f>(E10-D9)/(E11-D10+E10-D9)</f>
        <v>0.5</v>
      </c>
      <c r="D10">
        <f>E9</f>
        <v>3</v>
      </c>
      <c r="E10">
        <f>D11</f>
        <v>3.5</v>
      </c>
      <c r="F10">
        <f>ROUND(F11^C10*F9^(1-C10),4)</f>
        <v>19.082699999999999</v>
      </c>
      <c r="G10">
        <f>ROUND(SQRT((((F10-F9)/G9)^2+((F10-F11)/G11)^2+1)/(1/G9^2+1/G11^2)),4)</f>
        <v>4.3056000000000001</v>
      </c>
      <c r="H10">
        <f>(H9+H11)/2</f>
        <v>0.16275000000000001</v>
      </c>
      <c r="I10">
        <f t="shared" si="3"/>
        <v>0.40460000000000002</v>
      </c>
      <c r="J10">
        <f t="shared" si="4"/>
        <v>17.432499999999997</v>
      </c>
      <c r="K10">
        <f t="shared" si="5"/>
        <v>4.3056999999999999</v>
      </c>
      <c r="L10">
        <f t="shared" si="6"/>
        <v>1.4185696874999998</v>
      </c>
      <c r="M10">
        <f t="shared" si="0"/>
        <v>9.7726000000000006</v>
      </c>
      <c r="N10">
        <f t="shared" si="1"/>
        <v>1.1663876209037125</v>
      </c>
      <c r="O10">
        <f t="shared" si="7"/>
        <v>26.78</v>
      </c>
      <c r="P10">
        <f t="shared" si="8"/>
        <v>4.54</v>
      </c>
      <c r="Q10">
        <f t="shared" si="2"/>
        <v>1993.7</v>
      </c>
      <c r="R10">
        <f t="shared" si="9"/>
        <v>1995.85</v>
      </c>
      <c r="S10">
        <f t="shared" si="10"/>
        <v>1.8700000000000001E-2</v>
      </c>
      <c r="T10">
        <f t="shared" si="11"/>
        <v>4.7999999999999996E-3</v>
      </c>
      <c r="U10" s="38" t="s">
        <v>138</v>
      </c>
      <c r="V10" s="24">
        <v>6</v>
      </c>
      <c r="W10">
        <v>6.5</v>
      </c>
      <c r="X10">
        <v>6.25</v>
      </c>
      <c r="Y10" s="26">
        <v>6.2748999999999997</v>
      </c>
      <c r="Z10" s="26">
        <v>0.23300000000000001</v>
      </c>
      <c r="AA10" s="26">
        <v>0.87309999999999999</v>
      </c>
      <c r="AB10" s="26">
        <v>4.6246999999999998</v>
      </c>
      <c r="AC10" s="26">
        <v>0.2349</v>
      </c>
      <c r="AD10" s="19">
        <v>64.37</v>
      </c>
      <c r="AE10" s="19">
        <v>6.2</v>
      </c>
      <c r="AF10" s="12">
        <v>1956.1</v>
      </c>
      <c r="AG10" s="12">
        <v>1957.9</v>
      </c>
      <c r="AH10" s="11">
        <v>2.1600000000000001E-2</v>
      </c>
      <c r="AI10" s="28">
        <v>3.7699999999999999E-3</v>
      </c>
    </row>
    <row r="11" spans="1:35" x14ac:dyDescent="0.2">
      <c r="A11">
        <f>ROUND(M4,4)</f>
        <v>22.4985</v>
      </c>
      <c r="B11" t="s">
        <v>139</v>
      </c>
      <c r="C11">
        <v>4</v>
      </c>
      <c r="D11">
        <v>3.5</v>
      </c>
      <c r="E11">
        <v>4</v>
      </c>
      <c r="F11">
        <v>15.1348</v>
      </c>
      <c r="G11">
        <v>0.4864</v>
      </c>
      <c r="H11">
        <v>0.19969999999999999</v>
      </c>
      <c r="I11">
        <f t="shared" si="3"/>
        <v>0.50449999999999995</v>
      </c>
      <c r="J11">
        <f t="shared" si="4"/>
        <v>13.4846</v>
      </c>
      <c r="K11">
        <f t="shared" si="5"/>
        <v>0.48730000000000001</v>
      </c>
      <c r="L11">
        <f t="shared" si="6"/>
        <v>1.34643731</v>
      </c>
      <c r="M11">
        <f t="shared" si="0"/>
        <v>8.4261999999999997</v>
      </c>
      <c r="N11">
        <f t="shared" si="1"/>
        <v>1.1653722957893085</v>
      </c>
      <c r="O11">
        <f t="shared" si="7"/>
        <v>31.54</v>
      </c>
      <c r="P11">
        <f t="shared" si="8"/>
        <v>5.07</v>
      </c>
      <c r="Q11">
        <f t="shared" si="2"/>
        <v>1988.9</v>
      </c>
      <c r="R11">
        <f t="shared" si="9"/>
        <v>1991.3000000000002</v>
      </c>
      <c r="S11">
        <f t="shared" si="10"/>
        <v>2.1000000000000001E-2</v>
      </c>
      <c r="T11">
        <f t="shared" si="11"/>
        <v>2.7899999999999999E-3</v>
      </c>
      <c r="U11" s="38" t="s">
        <v>138</v>
      </c>
      <c r="V11" s="24">
        <v>6.5</v>
      </c>
      <c r="W11">
        <v>7</v>
      </c>
      <c r="X11">
        <v>6.75</v>
      </c>
      <c r="Y11" s="26">
        <v>5.1746999999999996</v>
      </c>
      <c r="Z11" s="26">
        <v>0.20880000000000001</v>
      </c>
      <c r="AA11" s="26">
        <v>0.93330000000000002</v>
      </c>
      <c r="AB11" s="26">
        <v>3.5244999999999997</v>
      </c>
      <c r="AC11" s="26">
        <v>0.2109</v>
      </c>
      <c r="AD11" s="19">
        <v>66.7</v>
      </c>
      <c r="AE11" s="19">
        <v>6.59</v>
      </c>
      <c r="AF11" s="12">
        <v>1953.8</v>
      </c>
      <c r="AG11" s="12">
        <v>1954.9499999999998</v>
      </c>
      <c r="AH11" s="11">
        <v>2.58E-2</v>
      </c>
      <c r="AI11" s="28">
        <v>4.9699999999999996E-3</v>
      </c>
    </row>
    <row r="12" spans="1:35" x14ac:dyDescent="0.2">
      <c r="A12" s="38" t="s">
        <v>138</v>
      </c>
      <c r="B12" t="s">
        <v>59</v>
      </c>
      <c r="C12">
        <f>(E12-D11)/(E13-D12+E12-D11)</f>
        <v>0.5</v>
      </c>
      <c r="D12">
        <f>E11</f>
        <v>4</v>
      </c>
      <c r="E12">
        <f>D13</f>
        <v>5</v>
      </c>
      <c r="F12">
        <f>ROUND(F13^C12*F11^(1-C12),4)</f>
        <v>19.466899999999999</v>
      </c>
      <c r="G12">
        <f>ROUND(SQRT((((F12-F11)/G11)^2+((F12-F13)/G13)^2+1)/(1/G11^2+1/G13^2)),4)</f>
        <v>5.2074999999999996</v>
      </c>
      <c r="H12">
        <f>(H11+H13)/2</f>
        <v>0.16055</v>
      </c>
      <c r="I12">
        <f t="shared" si="3"/>
        <v>0.66510000000000002</v>
      </c>
      <c r="J12">
        <f t="shared" si="4"/>
        <v>17.816699999999997</v>
      </c>
      <c r="K12">
        <f t="shared" si="5"/>
        <v>5.2076000000000002</v>
      </c>
      <c r="L12">
        <f t="shared" si="6"/>
        <v>2.8604711849999997</v>
      </c>
      <c r="M12">
        <f t="shared" si="0"/>
        <v>5.5656999999999996</v>
      </c>
      <c r="N12">
        <f t="shared" si="1"/>
        <v>0.81182665662345121</v>
      </c>
      <c r="O12">
        <f t="shared" si="7"/>
        <v>44.86</v>
      </c>
      <c r="P12">
        <f t="shared" si="8"/>
        <v>5.28</v>
      </c>
      <c r="Q12">
        <f t="shared" si="2"/>
        <v>1975.6</v>
      </c>
      <c r="R12">
        <f t="shared" si="9"/>
        <v>1982.25</v>
      </c>
      <c r="S12">
        <f t="shared" si="10"/>
        <v>1.21E-2</v>
      </c>
      <c r="T12">
        <f t="shared" si="11"/>
        <v>3.2399999999999998E-3</v>
      </c>
      <c r="U12" s="38" t="s">
        <v>138</v>
      </c>
      <c r="V12" s="24">
        <v>7.5</v>
      </c>
      <c r="W12">
        <v>8</v>
      </c>
      <c r="X12">
        <v>7.75</v>
      </c>
      <c r="Y12" s="26">
        <v>9.8991000000000007</v>
      </c>
      <c r="Z12" s="26">
        <v>0.22309999999999999</v>
      </c>
      <c r="AA12" s="26">
        <v>1.0572999999999999</v>
      </c>
      <c r="AB12" s="26">
        <v>8.2489000000000008</v>
      </c>
      <c r="AC12" s="26">
        <v>0.22509999999999999</v>
      </c>
      <c r="AD12" s="19">
        <v>78.3</v>
      </c>
      <c r="AE12" s="19">
        <v>8.7899999999999991</v>
      </c>
      <c r="AF12" s="12">
        <v>1942.2</v>
      </c>
      <c r="AG12" s="12">
        <v>1945.95</v>
      </c>
      <c r="AH12" s="11">
        <v>8.3999999999999995E-3</v>
      </c>
      <c r="AI12" s="28">
        <v>1.98E-3</v>
      </c>
    </row>
    <row r="13" spans="1:35" x14ac:dyDescent="0.2">
      <c r="A13">
        <f>ROUND(A11*EXP((Count_Date-Coring_Date)/365.25*k)*k*1.0172,4)</f>
        <v>0.72650000000000003</v>
      </c>
      <c r="B13" t="s">
        <v>139</v>
      </c>
      <c r="C13">
        <v>5</v>
      </c>
      <c r="D13">
        <v>5</v>
      </c>
      <c r="E13">
        <v>5.5</v>
      </c>
      <c r="F13">
        <v>25.039000000000001</v>
      </c>
      <c r="G13">
        <v>0.33850000000000002</v>
      </c>
      <c r="H13">
        <v>0.12139999999999999</v>
      </c>
      <c r="I13">
        <f t="shared" si="3"/>
        <v>0.7258</v>
      </c>
      <c r="J13">
        <f t="shared" si="4"/>
        <v>23.388800000000003</v>
      </c>
      <c r="K13">
        <f t="shared" si="5"/>
        <v>0.33979999999999999</v>
      </c>
      <c r="L13">
        <f t="shared" si="6"/>
        <v>1.4197001600000001</v>
      </c>
      <c r="M13">
        <f t="shared" si="0"/>
        <v>4.1459999999999999</v>
      </c>
      <c r="N13">
        <f t="shared" si="1"/>
        <v>0.81156459650706259</v>
      </c>
      <c r="O13">
        <f t="shared" si="7"/>
        <v>54.31</v>
      </c>
      <c r="P13">
        <f t="shared" si="8"/>
        <v>6.74</v>
      </c>
      <c r="Q13">
        <f t="shared" si="2"/>
        <v>1966.2</v>
      </c>
      <c r="R13">
        <f t="shared" si="9"/>
        <v>1970.9</v>
      </c>
      <c r="S13">
        <f t="shared" si="10"/>
        <v>6.4000000000000003E-3</v>
      </c>
      <c r="T13">
        <f t="shared" si="11"/>
        <v>1.09E-3</v>
      </c>
      <c r="U13" s="38" t="s">
        <v>138</v>
      </c>
      <c r="V13" s="24">
        <v>9</v>
      </c>
      <c r="W13">
        <v>9.5</v>
      </c>
      <c r="X13">
        <v>9.25</v>
      </c>
      <c r="Y13" s="26">
        <v>3.1274000000000002</v>
      </c>
      <c r="Z13" s="26">
        <v>9.5600000000000004E-2</v>
      </c>
      <c r="AA13" s="26">
        <v>1.3442000000000001</v>
      </c>
      <c r="AB13" s="26">
        <v>1.4772000000000003</v>
      </c>
      <c r="AC13" s="26">
        <v>0.10009999999999999</v>
      </c>
      <c r="AD13" s="19">
        <v>96.48</v>
      </c>
      <c r="AE13" s="19">
        <v>5.15</v>
      </c>
      <c r="AF13" s="12">
        <v>1924</v>
      </c>
      <c r="AG13" s="12">
        <v>1926.2</v>
      </c>
      <c r="AH13" s="11">
        <v>2.52E-2</v>
      </c>
      <c r="AI13" s="28">
        <v>3.6800000000000001E-3</v>
      </c>
    </row>
    <row r="14" spans="1:35" x14ac:dyDescent="0.2">
      <c r="A14" s="38" t="s">
        <v>138</v>
      </c>
      <c r="B14" t="s">
        <v>59</v>
      </c>
      <c r="C14">
        <f>(E14-D13)/(E15-D14+E14-D13)</f>
        <v>0.5</v>
      </c>
      <c r="D14">
        <f>E13</f>
        <v>5.5</v>
      </c>
      <c r="E14">
        <f>D15</f>
        <v>6</v>
      </c>
      <c r="F14">
        <f>ROUND(F15^C14*F13^(1-C14),4)</f>
        <v>12.534599999999999</v>
      </c>
      <c r="G14">
        <f>ROUND(SQRT((((F14-F13)/G13)^2+((F14-F15)/G15)^2+1)/(1/G13^2+1/G15^2)),4)</f>
        <v>8.7687000000000008</v>
      </c>
      <c r="H14">
        <f>(H13+H15)/2</f>
        <v>0.13865</v>
      </c>
      <c r="I14">
        <f t="shared" si="3"/>
        <v>0.79510000000000003</v>
      </c>
      <c r="J14">
        <f t="shared" si="4"/>
        <v>10.884399999999999</v>
      </c>
      <c r="K14">
        <f t="shared" si="5"/>
        <v>8.7688000000000006</v>
      </c>
      <c r="L14">
        <f t="shared" si="6"/>
        <v>0.75456102999999997</v>
      </c>
      <c r="M14">
        <f t="shared" si="0"/>
        <v>3.3914</v>
      </c>
      <c r="N14">
        <f t="shared" si="1"/>
        <v>0.53767858312102013</v>
      </c>
      <c r="O14">
        <f t="shared" si="7"/>
        <v>60.76</v>
      </c>
      <c r="P14">
        <f t="shared" si="8"/>
        <v>5.65</v>
      </c>
      <c r="Q14">
        <f t="shared" si="2"/>
        <v>1959.7</v>
      </c>
      <c r="R14">
        <f t="shared" si="9"/>
        <v>1962.95</v>
      </c>
      <c r="S14">
        <f t="shared" si="10"/>
        <v>1.0699999999999999E-2</v>
      </c>
      <c r="T14">
        <f t="shared" si="11"/>
        <v>7.9600000000000001E-3</v>
      </c>
      <c r="U14" s="38" t="s">
        <v>138</v>
      </c>
      <c r="V14" s="24">
        <v>10</v>
      </c>
      <c r="W14">
        <v>10.5</v>
      </c>
      <c r="X14">
        <v>10.25</v>
      </c>
      <c r="Y14" s="26">
        <v>4.4347000000000003</v>
      </c>
      <c r="Z14" s="26">
        <v>8.3500000000000005E-2</v>
      </c>
      <c r="AA14" s="26">
        <v>1.5166999999999999</v>
      </c>
      <c r="AB14" s="26">
        <v>2.7845000000000004</v>
      </c>
      <c r="AC14" s="26">
        <v>8.8599999999999998E-2</v>
      </c>
      <c r="AD14" s="19">
        <v>111.33</v>
      </c>
      <c r="AE14" s="19">
        <v>7.01</v>
      </c>
      <c r="AF14" s="12">
        <v>1909.1</v>
      </c>
      <c r="AG14" s="12">
        <v>1913.4499999999998</v>
      </c>
      <c r="AH14" s="11">
        <v>8.9999999999999993E-3</v>
      </c>
      <c r="AI14" s="28">
        <v>1.64E-3</v>
      </c>
    </row>
    <row r="15" spans="1:35" x14ac:dyDescent="0.2">
      <c r="A15" s="38" t="s">
        <v>138</v>
      </c>
      <c r="B15" t="s">
        <v>139</v>
      </c>
      <c r="C15">
        <v>6</v>
      </c>
      <c r="D15">
        <v>6</v>
      </c>
      <c r="E15">
        <v>6.5</v>
      </c>
      <c r="F15">
        <v>6.2748999999999997</v>
      </c>
      <c r="G15">
        <v>0.23300000000000001</v>
      </c>
      <c r="H15">
        <v>0.15590000000000001</v>
      </c>
      <c r="I15">
        <f t="shared" si="3"/>
        <v>0.87309999999999999</v>
      </c>
      <c r="J15">
        <f t="shared" si="4"/>
        <v>4.6246999999999998</v>
      </c>
      <c r="K15">
        <f t="shared" si="5"/>
        <v>0.2349</v>
      </c>
      <c r="L15">
        <f t="shared" si="6"/>
        <v>0.36049536500000001</v>
      </c>
      <c r="M15">
        <f t="shared" si="0"/>
        <v>3.0308999999999999</v>
      </c>
      <c r="N15">
        <f t="shared" si="1"/>
        <v>0.53736671462300367</v>
      </c>
      <c r="O15">
        <f t="shared" si="7"/>
        <v>64.37</v>
      </c>
      <c r="P15">
        <f t="shared" si="8"/>
        <v>6.2</v>
      </c>
      <c r="Q15">
        <f t="shared" si="2"/>
        <v>1956.1</v>
      </c>
      <c r="R15">
        <f t="shared" si="9"/>
        <v>1957.9</v>
      </c>
      <c r="S15">
        <f t="shared" si="10"/>
        <v>2.1600000000000001E-2</v>
      </c>
      <c r="T15">
        <f t="shared" si="11"/>
        <v>3.7699999999999999E-3</v>
      </c>
      <c r="U15" s="38" t="s">
        <v>138</v>
      </c>
      <c r="V15" s="24">
        <v>11</v>
      </c>
      <c r="W15">
        <v>11.5</v>
      </c>
      <c r="X15">
        <v>11.25</v>
      </c>
      <c r="Y15" s="26">
        <v>1.9709000000000001</v>
      </c>
      <c r="Z15" s="26">
        <v>6.8599999999999994E-2</v>
      </c>
      <c r="AA15" s="26">
        <v>1.6893</v>
      </c>
      <c r="AB15" s="26">
        <v>0.32070000000000021</v>
      </c>
      <c r="AC15" s="26">
        <v>7.4800000000000005E-2</v>
      </c>
      <c r="AD15" s="19">
        <v>118.32</v>
      </c>
      <c r="AE15" s="19">
        <v>6.31</v>
      </c>
      <c r="AF15" s="12">
        <v>1902.2</v>
      </c>
      <c r="AG15" s="12">
        <v>1902.95</v>
      </c>
      <c r="AH15" s="11">
        <v>5.62E-2</v>
      </c>
      <c r="AI15" s="28">
        <v>1.619E-2</v>
      </c>
    </row>
    <row r="16" spans="1:35" x14ac:dyDescent="0.2">
      <c r="A16" s="38" t="s">
        <v>138</v>
      </c>
      <c r="B16" t="s">
        <v>139</v>
      </c>
      <c r="C16">
        <v>7</v>
      </c>
      <c r="D16">
        <v>6.5</v>
      </c>
      <c r="E16">
        <v>7</v>
      </c>
      <c r="F16">
        <v>5.1746999999999996</v>
      </c>
      <c r="G16">
        <v>0.20880000000000001</v>
      </c>
      <c r="H16">
        <v>0.12039999999999999</v>
      </c>
      <c r="I16">
        <f t="shared" si="3"/>
        <v>0.93330000000000002</v>
      </c>
      <c r="J16">
        <f t="shared" si="4"/>
        <v>3.5244999999999997</v>
      </c>
      <c r="K16">
        <f t="shared" si="5"/>
        <v>0.2109</v>
      </c>
      <c r="L16">
        <f t="shared" si="6"/>
        <v>0.21217489999999997</v>
      </c>
      <c r="M16">
        <f t="shared" si="0"/>
        <v>2.8187000000000002</v>
      </c>
      <c r="N16">
        <f t="shared" si="1"/>
        <v>0.53721670952989564</v>
      </c>
      <c r="O16">
        <f t="shared" si="7"/>
        <v>66.7</v>
      </c>
      <c r="P16">
        <f t="shared" si="8"/>
        <v>6.59</v>
      </c>
      <c r="Q16">
        <f t="shared" si="2"/>
        <v>1953.8</v>
      </c>
      <c r="R16">
        <f t="shared" si="9"/>
        <v>1954.9499999999998</v>
      </c>
      <c r="S16">
        <f t="shared" si="10"/>
        <v>2.58E-2</v>
      </c>
      <c r="T16">
        <f t="shared" si="11"/>
        <v>4.9699999999999996E-3</v>
      </c>
      <c r="U16" s="38" t="s">
        <v>138</v>
      </c>
      <c r="V16" s="24">
        <v>12.5</v>
      </c>
      <c r="W16">
        <v>13</v>
      </c>
      <c r="X16">
        <v>12.75</v>
      </c>
      <c r="Y16" s="26">
        <v>2.5609999999999999</v>
      </c>
      <c r="Z16" s="26">
        <v>6.0699999999999997E-2</v>
      </c>
      <c r="AA16" s="26">
        <v>1.9414</v>
      </c>
      <c r="AB16" s="26">
        <v>0.91080000000000005</v>
      </c>
      <c r="AC16" s="26">
        <v>6.7599999999999993E-2</v>
      </c>
      <c r="AD16" s="19">
        <v>130.31</v>
      </c>
      <c r="AE16" s="19">
        <v>7.67</v>
      </c>
      <c r="AF16" s="12">
        <v>1890.2</v>
      </c>
      <c r="AG16" s="12">
        <v>1893</v>
      </c>
      <c r="AH16" s="11">
        <v>1.4500000000000001E-2</v>
      </c>
      <c r="AI16" s="28">
        <v>3.1700000000000001E-3</v>
      </c>
    </row>
    <row r="17" spans="1:35" x14ac:dyDescent="0.2">
      <c r="A17" s="38" t="s">
        <v>138</v>
      </c>
      <c r="B17" t="s">
        <v>59</v>
      </c>
      <c r="C17">
        <f>(E17-D16)/(E18-D17+E17-D16)</f>
        <v>0.5</v>
      </c>
      <c r="D17">
        <f>E16</f>
        <v>7</v>
      </c>
      <c r="E17">
        <f>D18</f>
        <v>7.5</v>
      </c>
      <c r="F17">
        <f>ROUND(F18^C17*F16^(1-C17),4)</f>
        <v>7.1571999999999996</v>
      </c>
      <c r="G17">
        <f>ROUND(SQRT((((F17-F16)/G16)^2+((F17-F18)/G18)^2+1)/(1/G16^2+1/G18^2)),4)</f>
        <v>2.3725000000000001</v>
      </c>
      <c r="H17">
        <f>(H16+H18)/2</f>
        <v>0.12275</v>
      </c>
      <c r="I17">
        <f t="shared" si="3"/>
        <v>0.99470000000000003</v>
      </c>
      <c r="J17">
        <f t="shared" si="4"/>
        <v>5.5069999999999997</v>
      </c>
      <c r="K17">
        <f t="shared" si="5"/>
        <v>2.3727</v>
      </c>
      <c r="L17">
        <f t="shared" si="6"/>
        <v>0.33799212499999998</v>
      </c>
      <c r="M17">
        <f t="shared" si="0"/>
        <v>2.4807000000000001</v>
      </c>
      <c r="N17">
        <f t="shared" si="1"/>
        <v>0.51710280304762846</v>
      </c>
      <c r="O17">
        <f t="shared" si="7"/>
        <v>70.81</v>
      </c>
      <c r="P17">
        <f t="shared" si="8"/>
        <v>7.13</v>
      </c>
      <c r="Q17">
        <f t="shared" si="2"/>
        <v>1949.7</v>
      </c>
      <c r="R17">
        <f t="shared" si="9"/>
        <v>1951.75</v>
      </c>
      <c r="S17">
        <f t="shared" si="10"/>
        <v>1.4999999999999999E-2</v>
      </c>
      <c r="T17">
        <f t="shared" si="11"/>
        <v>6.7400000000000003E-3</v>
      </c>
      <c r="U17" s="38" t="s">
        <v>138</v>
      </c>
      <c r="V17" s="24">
        <v>15</v>
      </c>
      <c r="W17">
        <v>15.5</v>
      </c>
      <c r="X17">
        <v>15.25</v>
      </c>
      <c r="Y17" s="26">
        <v>2.2057000000000002</v>
      </c>
      <c r="Z17" s="26">
        <v>5.33E-2</v>
      </c>
      <c r="AA17" s="26">
        <v>2.3586999999999998</v>
      </c>
      <c r="AB17" s="26">
        <v>0.55550000000000033</v>
      </c>
      <c r="AC17" s="26">
        <v>6.0999999999999999E-2</v>
      </c>
      <c r="AD17" s="19">
        <v>173.86</v>
      </c>
      <c r="AE17" s="19">
        <v>20.41</v>
      </c>
      <c r="AF17" s="12">
        <v>1846.6</v>
      </c>
      <c r="AG17" s="12">
        <v>1852.8</v>
      </c>
      <c r="AH17" s="11">
        <v>6.8999999999999999E-3</v>
      </c>
      <c r="AI17" s="28">
        <v>3.6700000000000001E-3</v>
      </c>
    </row>
    <row r="18" spans="1:35" x14ac:dyDescent="0.2">
      <c r="A18" s="38" t="s">
        <v>138</v>
      </c>
      <c r="B18" t="s">
        <v>139</v>
      </c>
      <c r="C18">
        <v>8</v>
      </c>
      <c r="D18">
        <v>7.5</v>
      </c>
      <c r="E18">
        <v>8</v>
      </c>
      <c r="F18">
        <v>9.8991000000000007</v>
      </c>
      <c r="G18">
        <v>0.22309999999999999</v>
      </c>
      <c r="H18">
        <v>0.12509999999999999</v>
      </c>
      <c r="I18">
        <f t="shared" si="3"/>
        <v>1.0572999999999999</v>
      </c>
      <c r="J18">
        <f t="shared" si="4"/>
        <v>8.2489000000000008</v>
      </c>
      <c r="K18">
        <f t="shared" si="5"/>
        <v>0.22509999999999999</v>
      </c>
      <c r="L18">
        <f t="shared" si="6"/>
        <v>0.51596869499999998</v>
      </c>
      <c r="M18">
        <f t="shared" si="0"/>
        <v>1.9646999999999999</v>
      </c>
      <c r="N18">
        <f t="shared" si="1"/>
        <v>0.5169110778256879</v>
      </c>
      <c r="O18">
        <f t="shared" si="7"/>
        <v>78.3</v>
      </c>
      <c r="P18">
        <f t="shared" si="8"/>
        <v>8.7899999999999991</v>
      </c>
      <c r="Q18">
        <f t="shared" si="2"/>
        <v>1942.2</v>
      </c>
      <c r="R18">
        <f t="shared" si="9"/>
        <v>1945.95</v>
      </c>
      <c r="S18">
        <f t="shared" si="10"/>
        <v>8.3999999999999995E-3</v>
      </c>
      <c r="T18">
        <f t="shared" si="11"/>
        <v>1.98E-3</v>
      </c>
      <c r="U18" s="38" t="s">
        <v>138</v>
      </c>
      <c r="V18" s="24">
        <v>16.5</v>
      </c>
      <c r="W18">
        <v>17</v>
      </c>
      <c r="X18">
        <v>16.75</v>
      </c>
      <c r="Y18" s="26">
        <v>1.7083999999999999</v>
      </c>
      <c r="Z18" s="26">
        <v>5.8099999999999999E-2</v>
      </c>
      <c r="AA18" s="26">
        <v>2.6280999999999999</v>
      </c>
      <c r="AB18" s="26">
        <v>5.8200000000000029E-2</v>
      </c>
      <c r="AC18" s="26">
        <v>6.5299999999999997E-2</v>
      </c>
      <c r="AD18" s="19">
        <v>200.8</v>
      </c>
      <c r="AE18" s="19">
        <v>32.56</v>
      </c>
      <c r="AF18" s="12">
        <v>1819.7</v>
      </c>
      <c r="AG18" s="12">
        <v>1821.5500000000002</v>
      </c>
      <c r="AH18" s="11">
        <v>2.4500000000000001E-2</v>
      </c>
      <c r="AI18" s="28">
        <v>3.4729999999999997E-2</v>
      </c>
    </row>
    <row r="19" spans="1:35" x14ac:dyDescent="0.2">
      <c r="A19" s="38" t="s">
        <v>138</v>
      </c>
      <c r="B19" t="s">
        <v>59</v>
      </c>
      <c r="C19">
        <f>(E19-D18)/(E20-D19+E19-D18)</f>
        <v>0.5</v>
      </c>
      <c r="D19">
        <f>E18</f>
        <v>8</v>
      </c>
      <c r="E19">
        <f>D20</f>
        <v>9</v>
      </c>
      <c r="F19">
        <f>ROUND(F20^C19*F18^(1-C19),4)</f>
        <v>5.5640000000000001</v>
      </c>
      <c r="G19">
        <f>ROUND(SQRT((((F19-F18)/G18)^2+((F19-F20)/G20)^2+1)/(1/G18^2+1/G20^2)),4)</f>
        <v>2.8176000000000001</v>
      </c>
      <c r="H19">
        <f>(H18+H20)/2</f>
        <v>0.17469999999999999</v>
      </c>
      <c r="I19">
        <f t="shared" si="3"/>
        <v>1.232</v>
      </c>
      <c r="J19">
        <f t="shared" si="4"/>
        <v>3.9138000000000002</v>
      </c>
      <c r="K19">
        <f t="shared" si="5"/>
        <v>2.8178000000000001</v>
      </c>
      <c r="L19">
        <f t="shared" si="6"/>
        <v>0.68374086000000001</v>
      </c>
      <c r="M19">
        <f t="shared" si="0"/>
        <v>1.2809999999999999</v>
      </c>
      <c r="N19">
        <f t="shared" si="1"/>
        <v>0.15769478184898442</v>
      </c>
      <c r="O19">
        <f t="shared" si="7"/>
        <v>92.03</v>
      </c>
      <c r="P19">
        <f t="shared" si="8"/>
        <v>4.6500000000000004</v>
      </c>
      <c r="Q19">
        <f t="shared" si="2"/>
        <v>1928.4</v>
      </c>
      <c r="R19">
        <f t="shared" si="9"/>
        <v>1935.3000000000002</v>
      </c>
      <c r="S19">
        <f t="shared" si="10"/>
        <v>1.2699999999999999E-2</v>
      </c>
      <c r="T19">
        <f t="shared" si="11"/>
        <v>7.5500000000000003E-3</v>
      </c>
      <c r="U19" s="38" t="s">
        <v>138</v>
      </c>
      <c r="V19" s="24">
        <v>17.5</v>
      </c>
      <c r="W19">
        <v>18</v>
      </c>
      <c r="X19">
        <v>17.75</v>
      </c>
      <c r="Y19" s="26">
        <v>1.9652000000000001</v>
      </c>
      <c r="Z19" s="26">
        <v>5.8599999999999999E-2</v>
      </c>
      <c r="AA19" s="26">
        <v>2.8033999999999999</v>
      </c>
      <c r="AB19" s="26">
        <v>0.31500000000000017</v>
      </c>
      <c r="AC19" s="26">
        <v>6.5699999999999995E-2</v>
      </c>
      <c r="AD19" s="19" t="s">
        <v>139</v>
      </c>
      <c r="AE19" s="19" t="s">
        <v>139</v>
      </c>
      <c r="AF19" s="19" t="s">
        <v>139</v>
      </c>
      <c r="AG19" s="19" t="s">
        <v>139</v>
      </c>
      <c r="AH19" s="19" t="s">
        <v>139</v>
      </c>
      <c r="AI19" s="40" t="s">
        <v>139</v>
      </c>
    </row>
    <row r="20" spans="1:35" x14ac:dyDescent="0.2">
      <c r="A20" s="38" t="s">
        <v>138</v>
      </c>
      <c r="B20" t="s">
        <v>139</v>
      </c>
      <c r="C20">
        <v>9</v>
      </c>
      <c r="D20">
        <v>9</v>
      </c>
      <c r="E20">
        <v>9.5</v>
      </c>
      <c r="F20">
        <v>3.1274000000000002</v>
      </c>
      <c r="G20">
        <v>9.5600000000000004E-2</v>
      </c>
      <c r="H20">
        <v>0.2243</v>
      </c>
      <c r="I20">
        <f t="shared" si="3"/>
        <v>1.3442000000000001</v>
      </c>
      <c r="J20">
        <f t="shared" si="4"/>
        <v>1.4772000000000003</v>
      </c>
      <c r="K20">
        <f t="shared" si="5"/>
        <v>0.10009999999999999</v>
      </c>
      <c r="L20">
        <f t="shared" si="6"/>
        <v>0.16566798000000002</v>
      </c>
      <c r="M20">
        <f t="shared" si="0"/>
        <v>1.1153</v>
      </c>
      <c r="N20">
        <f t="shared" si="1"/>
        <v>0.15729467988197363</v>
      </c>
      <c r="O20">
        <f t="shared" si="7"/>
        <v>96.48</v>
      </c>
      <c r="P20">
        <f t="shared" si="8"/>
        <v>5.15</v>
      </c>
      <c r="Q20">
        <f t="shared" si="2"/>
        <v>1924</v>
      </c>
      <c r="R20">
        <f t="shared" si="9"/>
        <v>1926.2</v>
      </c>
      <c r="S20">
        <f t="shared" si="10"/>
        <v>2.52E-2</v>
      </c>
      <c r="T20">
        <f t="shared" si="11"/>
        <v>3.6800000000000001E-3</v>
      </c>
      <c r="U20" s="38" t="s">
        <v>138</v>
      </c>
      <c r="V20" s="24">
        <v>22.5</v>
      </c>
      <c r="W20">
        <v>23</v>
      </c>
      <c r="X20">
        <v>22.75</v>
      </c>
      <c r="Y20" s="26">
        <v>1.6728000000000001</v>
      </c>
      <c r="Z20" s="26">
        <v>3.6200000000000003E-2</v>
      </c>
      <c r="AA20" s="19" t="s">
        <v>139</v>
      </c>
      <c r="AB20" s="19" t="s">
        <v>139</v>
      </c>
      <c r="AC20" s="19" t="s">
        <v>139</v>
      </c>
      <c r="AD20" s="19" t="s">
        <v>139</v>
      </c>
      <c r="AE20" s="19" t="s">
        <v>139</v>
      </c>
      <c r="AF20" s="19" t="s">
        <v>139</v>
      </c>
      <c r="AG20" s="19" t="s">
        <v>139</v>
      </c>
      <c r="AH20" s="19" t="s">
        <v>139</v>
      </c>
      <c r="AI20" s="40" t="s">
        <v>139</v>
      </c>
    </row>
    <row r="21" spans="1:35" x14ac:dyDescent="0.2">
      <c r="A21" s="38" t="s">
        <v>138</v>
      </c>
      <c r="B21" t="s">
        <v>59</v>
      </c>
      <c r="C21">
        <f>(E21-D20)/(E22-D21+E21-D20)</f>
        <v>0.5</v>
      </c>
      <c r="D21">
        <f>E20</f>
        <v>9.5</v>
      </c>
      <c r="E21">
        <f>D22</f>
        <v>10</v>
      </c>
      <c r="F21">
        <f>ROUND(F22^C21*F20^(1-C21),4)</f>
        <v>3.7241</v>
      </c>
      <c r="G21">
        <f>ROUND(SQRT((((F21-F20)/G20)^2+((F21-F22)/G22)^2+1)/(1/G20^2+1/G22^2)),4)</f>
        <v>0.66669999999999996</v>
      </c>
      <c r="H21">
        <f>(H20+H22)/2</f>
        <v>0.18975</v>
      </c>
      <c r="I21">
        <f t="shared" si="3"/>
        <v>1.4391</v>
      </c>
      <c r="J21">
        <f t="shared" si="4"/>
        <v>2.0739000000000001</v>
      </c>
      <c r="K21">
        <f t="shared" si="5"/>
        <v>0.66739999999999999</v>
      </c>
      <c r="L21">
        <f t="shared" si="6"/>
        <v>0.19676126250000001</v>
      </c>
      <c r="M21">
        <f t="shared" si="0"/>
        <v>0.91849999999999998</v>
      </c>
      <c r="N21">
        <f t="shared" si="1"/>
        <v>0.14398697073343802</v>
      </c>
      <c r="O21">
        <f t="shared" si="7"/>
        <v>102.71</v>
      </c>
      <c r="P21">
        <f t="shared" si="8"/>
        <v>5.6</v>
      </c>
      <c r="Q21">
        <f t="shared" si="2"/>
        <v>1917.8</v>
      </c>
      <c r="R21">
        <f t="shared" si="9"/>
        <v>1920.9</v>
      </c>
      <c r="S21">
        <f t="shared" si="10"/>
        <v>1.52E-2</v>
      </c>
      <c r="T21">
        <f t="shared" si="11"/>
        <v>4.9399999999999999E-3</v>
      </c>
      <c r="U21" s="38" t="s">
        <v>138</v>
      </c>
      <c r="V21" s="24">
        <v>26.5</v>
      </c>
      <c r="W21">
        <v>27</v>
      </c>
      <c r="X21">
        <v>26.75</v>
      </c>
      <c r="Y21" s="26">
        <v>1.6608000000000001</v>
      </c>
      <c r="Z21" s="26">
        <v>5.1200000000000002E-2</v>
      </c>
      <c r="AA21" s="19" t="s">
        <v>139</v>
      </c>
      <c r="AB21" s="19" t="s">
        <v>139</v>
      </c>
      <c r="AC21" s="19" t="s">
        <v>139</v>
      </c>
      <c r="AD21" s="19" t="s">
        <v>139</v>
      </c>
      <c r="AE21" s="19" t="s">
        <v>139</v>
      </c>
      <c r="AF21" s="19" t="s">
        <v>139</v>
      </c>
      <c r="AG21" s="19" t="s">
        <v>139</v>
      </c>
      <c r="AH21" s="19" t="s">
        <v>139</v>
      </c>
      <c r="AI21" s="40" t="s">
        <v>139</v>
      </c>
    </row>
    <row r="22" spans="1:35" x14ac:dyDescent="0.2">
      <c r="A22" s="38" t="s">
        <v>138</v>
      </c>
      <c r="B22" t="s">
        <v>139</v>
      </c>
      <c r="C22">
        <v>10</v>
      </c>
      <c r="D22">
        <v>10</v>
      </c>
      <c r="E22">
        <v>10.5</v>
      </c>
      <c r="F22">
        <v>4.4347000000000003</v>
      </c>
      <c r="G22">
        <v>8.3500000000000005E-2</v>
      </c>
      <c r="H22">
        <v>0.1552</v>
      </c>
      <c r="I22">
        <f t="shared" si="3"/>
        <v>1.5166999999999999</v>
      </c>
      <c r="J22">
        <f t="shared" si="4"/>
        <v>2.7845000000000004</v>
      </c>
      <c r="K22">
        <f t="shared" si="5"/>
        <v>8.8599999999999998E-2</v>
      </c>
      <c r="L22">
        <f t="shared" si="6"/>
        <v>0.21607720000000005</v>
      </c>
      <c r="M22">
        <f t="shared" si="0"/>
        <v>0.70240000000000002</v>
      </c>
      <c r="N22">
        <f t="shared" si="1"/>
        <v>0.14382272826595363</v>
      </c>
      <c r="O22">
        <f t="shared" si="7"/>
        <v>111.33</v>
      </c>
      <c r="P22">
        <f t="shared" si="8"/>
        <v>7.01</v>
      </c>
      <c r="Q22">
        <f t="shared" si="2"/>
        <v>1909.1</v>
      </c>
      <c r="R22">
        <f t="shared" si="9"/>
        <v>1913.4499999999998</v>
      </c>
      <c r="S22">
        <f t="shared" si="10"/>
        <v>8.9999999999999993E-3</v>
      </c>
      <c r="T22">
        <f t="shared" si="11"/>
        <v>1.64E-3</v>
      </c>
      <c r="U22" s="38" t="s">
        <v>138</v>
      </c>
      <c r="V22" s="24">
        <v>29</v>
      </c>
      <c r="W22">
        <v>29.5</v>
      </c>
      <c r="X22">
        <v>29.25</v>
      </c>
      <c r="Y22" s="26">
        <v>1.6236999999999999</v>
      </c>
      <c r="Z22" s="26">
        <v>5.0299999999999997E-2</v>
      </c>
      <c r="AA22" s="19" t="s">
        <v>139</v>
      </c>
      <c r="AB22" s="19" t="s">
        <v>139</v>
      </c>
      <c r="AC22" s="19" t="s">
        <v>139</v>
      </c>
      <c r="AD22" s="19" t="s">
        <v>139</v>
      </c>
      <c r="AE22" s="19" t="s">
        <v>139</v>
      </c>
      <c r="AF22" s="19" t="s">
        <v>139</v>
      </c>
      <c r="AG22" s="19" t="s">
        <v>139</v>
      </c>
      <c r="AH22" s="19" t="s">
        <v>139</v>
      </c>
      <c r="AI22" s="40" t="s">
        <v>139</v>
      </c>
    </row>
    <row r="23" spans="1:35" x14ac:dyDescent="0.2">
      <c r="A23" s="38" t="s">
        <v>138</v>
      </c>
      <c r="B23" t="s">
        <v>59</v>
      </c>
      <c r="C23">
        <f>(E23-D22)/(E24-D23+E23-D22)</f>
        <v>0.5</v>
      </c>
      <c r="D23">
        <f>E22</f>
        <v>10.5</v>
      </c>
      <c r="E23">
        <f>D24</f>
        <v>11</v>
      </c>
      <c r="F23">
        <f>ROUND(F24^C23*F22^(1-C23),4)</f>
        <v>2.9563999999999999</v>
      </c>
      <c r="G23">
        <f>ROUND(SQRT((((F23-F22)/G22)^2+((F23-F24)/G24)^2+1)/(1/G22^2+1/G24^2)),4)</f>
        <v>1.2097</v>
      </c>
      <c r="H23">
        <f>(H22+H24)/2</f>
        <v>0.16675000000000001</v>
      </c>
      <c r="I23">
        <f t="shared" si="3"/>
        <v>1.6001000000000001</v>
      </c>
      <c r="J23">
        <f t="shared" si="4"/>
        <v>1.3062</v>
      </c>
      <c r="K23">
        <f t="shared" si="5"/>
        <v>1.2101</v>
      </c>
      <c r="L23">
        <f t="shared" si="6"/>
        <v>0.10890442500000001</v>
      </c>
      <c r="M23">
        <f t="shared" si="0"/>
        <v>0.59350000000000003</v>
      </c>
      <c r="N23">
        <f t="shared" si="1"/>
        <v>0.10249762848844202</v>
      </c>
      <c r="O23">
        <f t="shared" si="7"/>
        <v>116.74</v>
      </c>
      <c r="P23">
        <f t="shared" si="8"/>
        <v>6.06</v>
      </c>
      <c r="Q23">
        <f t="shared" si="2"/>
        <v>1903.7</v>
      </c>
      <c r="R23">
        <f t="shared" si="9"/>
        <v>1906.4</v>
      </c>
      <c r="S23">
        <f t="shared" si="10"/>
        <v>1.54E-2</v>
      </c>
      <c r="T23">
        <f t="shared" si="11"/>
        <v>1.336E-2</v>
      </c>
      <c r="U23" s="38" t="s">
        <v>138</v>
      </c>
      <c r="V23" s="24">
        <v>30</v>
      </c>
      <c r="W23">
        <v>30.5</v>
      </c>
      <c r="X23">
        <v>30.25</v>
      </c>
      <c r="Y23" s="26">
        <v>1.7036</v>
      </c>
      <c r="Z23" s="26">
        <v>5.21E-2</v>
      </c>
      <c r="AA23" s="19" t="s">
        <v>139</v>
      </c>
      <c r="AB23" s="19" t="s">
        <v>139</v>
      </c>
      <c r="AC23" s="19" t="s">
        <v>139</v>
      </c>
      <c r="AD23" s="19" t="s">
        <v>139</v>
      </c>
      <c r="AE23" s="19" t="s">
        <v>139</v>
      </c>
      <c r="AF23" s="19" t="s">
        <v>139</v>
      </c>
      <c r="AG23" s="19" t="s">
        <v>139</v>
      </c>
      <c r="AH23" s="19" t="s">
        <v>139</v>
      </c>
      <c r="AI23" s="40" t="s">
        <v>139</v>
      </c>
    </row>
    <row r="24" spans="1:35" x14ac:dyDescent="0.2">
      <c r="A24" s="38" t="s">
        <v>138</v>
      </c>
      <c r="B24" t="s">
        <v>139</v>
      </c>
      <c r="C24">
        <v>11</v>
      </c>
      <c r="D24">
        <v>11</v>
      </c>
      <c r="E24">
        <v>11.5</v>
      </c>
      <c r="F24">
        <v>1.9709000000000001</v>
      </c>
      <c r="G24">
        <v>6.8599999999999994E-2</v>
      </c>
      <c r="H24">
        <v>0.17829999999999999</v>
      </c>
      <c r="I24">
        <f t="shared" si="3"/>
        <v>1.6893</v>
      </c>
      <c r="J24">
        <f t="shared" si="4"/>
        <v>0.32070000000000021</v>
      </c>
      <c r="K24">
        <f t="shared" si="5"/>
        <v>7.4800000000000005E-2</v>
      </c>
      <c r="L24">
        <f t="shared" si="6"/>
        <v>2.8590405000000017E-2</v>
      </c>
      <c r="M24">
        <f t="shared" si="0"/>
        <v>0.56489999999999996</v>
      </c>
      <c r="N24">
        <f t="shared" si="1"/>
        <v>0.10228047722052475</v>
      </c>
      <c r="O24">
        <f t="shared" si="7"/>
        <v>118.32</v>
      </c>
      <c r="P24">
        <f t="shared" si="8"/>
        <v>6.31</v>
      </c>
      <c r="Q24">
        <f t="shared" si="2"/>
        <v>1902.2</v>
      </c>
      <c r="R24">
        <f t="shared" si="9"/>
        <v>1902.95</v>
      </c>
      <c r="S24">
        <f t="shared" si="10"/>
        <v>5.62E-2</v>
      </c>
      <c r="T24">
        <f t="shared" si="11"/>
        <v>1.619E-2</v>
      </c>
      <c r="U24" s="38" t="s">
        <v>138</v>
      </c>
      <c r="V24" s="25">
        <v>32.5</v>
      </c>
      <c r="W24" s="18">
        <v>33</v>
      </c>
      <c r="X24" s="18">
        <v>32.75</v>
      </c>
      <c r="Y24" s="27">
        <v>1.5724</v>
      </c>
      <c r="Z24" s="27">
        <v>5.0599999999999999E-2</v>
      </c>
      <c r="AA24" s="37" t="s">
        <v>139</v>
      </c>
      <c r="AB24" s="37" t="s">
        <v>139</v>
      </c>
      <c r="AC24" s="37" t="s">
        <v>139</v>
      </c>
      <c r="AD24" s="37" t="s">
        <v>139</v>
      </c>
      <c r="AE24" s="37" t="s">
        <v>139</v>
      </c>
      <c r="AF24" s="37" t="s">
        <v>139</v>
      </c>
      <c r="AG24" s="37" t="s">
        <v>139</v>
      </c>
      <c r="AH24" s="37" t="s">
        <v>139</v>
      </c>
      <c r="AI24" s="41" t="s">
        <v>139</v>
      </c>
    </row>
    <row r="25" spans="1:35" x14ac:dyDescent="0.2">
      <c r="A25" s="38" t="s">
        <v>138</v>
      </c>
      <c r="B25" t="s">
        <v>59</v>
      </c>
      <c r="C25">
        <f>(E25-D24)/(E26-D25+E25-D24)</f>
        <v>0.5</v>
      </c>
      <c r="D25">
        <f>E24</f>
        <v>11.5</v>
      </c>
      <c r="E25">
        <f>D26</f>
        <v>12.5</v>
      </c>
      <c r="F25">
        <f>ROUND(F26^C25*F24^(1-C25),4)</f>
        <v>2.2467000000000001</v>
      </c>
      <c r="G25">
        <f>ROUND(SQRT((((F25-F24)/G24)^2+((F25-F26)/G26)^2+1)/(1/G24^2+1/G26^2)),4)</f>
        <v>0.30149999999999999</v>
      </c>
      <c r="H25">
        <f>(H24+H26)/2</f>
        <v>0.17059999999999997</v>
      </c>
      <c r="I25">
        <f t="shared" si="3"/>
        <v>1.8599000000000001</v>
      </c>
      <c r="J25">
        <f t="shared" si="4"/>
        <v>0.59650000000000025</v>
      </c>
      <c r="K25">
        <f t="shared" si="5"/>
        <v>0.30299999999999999</v>
      </c>
      <c r="L25">
        <f t="shared" si="6"/>
        <v>0.10176290000000003</v>
      </c>
      <c r="M25">
        <f t="shared" si="0"/>
        <v>0.46310000000000001</v>
      </c>
      <c r="N25">
        <f t="shared" si="1"/>
        <v>8.8256749505169763E-2</v>
      </c>
      <c r="O25">
        <f t="shared" si="7"/>
        <v>124.7</v>
      </c>
      <c r="P25">
        <f t="shared" si="8"/>
        <v>6.59</v>
      </c>
      <c r="Q25">
        <f t="shared" si="2"/>
        <v>1895.8</v>
      </c>
      <c r="R25">
        <f t="shared" si="9"/>
        <v>1899</v>
      </c>
      <c r="S25">
        <f t="shared" si="10"/>
        <v>2.6700000000000002E-2</v>
      </c>
      <c r="T25">
        <f t="shared" si="11"/>
        <v>1.3129999999999999E-2</v>
      </c>
      <c r="U25" s="38" t="s">
        <v>138</v>
      </c>
      <c r="V25" s="38" t="s">
        <v>138</v>
      </c>
      <c r="W25" s="38" t="s">
        <v>138</v>
      </c>
      <c r="X25" s="38" t="s">
        <v>138</v>
      </c>
      <c r="Y25" s="38" t="s">
        <v>138</v>
      </c>
      <c r="Z25" s="38" t="s">
        <v>138</v>
      </c>
      <c r="AA25" s="38" t="s">
        <v>138</v>
      </c>
      <c r="AB25" s="38" t="s">
        <v>138</v>
      </c>
      <c r="AC25" s="38" t="s">
        <v>138</v>
      </c>
      <c r="AD25" s="38" t="s">
        <v>138</v>
      </c>
      <c r="AE25" s="38" t="s">
        <v>138</v>
      </c>
      <c r="AF25" s="38" t="s">
        <v>138</v>
      </c>
      <c r="AG25" s="38" t="s">
        <v>138</v>
      </c>
      <c r="AH25" s="38" t="s">
        <v>138</v>
      </c>
      <c r="AI25" s="38" t="s">
        <v>138</v>
      </c>
    </row>
    <row r="26" spans="1:35" x14ac:dyDescent="0.2">
      <c r="A26" s="38" t="s">
        <v>138</v>
      </c>
      <c r="B26" t="s">
        <v>139</v>
      </c>
      <c r="C26">
        <v>12</v>
      </c>
      <c r="D26">
        <v>12.5</v>
      </c>
      <c r="E26">
        <v>13</v>
      </c>
      <c r="F26">
        <v>2.5609999999999999</v>
      </c>
      <c r="G26">
        <v>6.0699999999999997E-2</v>
      </c>
      <c r="H26">
        <v>0.16289999999999999</v>
      </c>
      <c r="I26">
        <f t="shared" si="3"/>
        <v>1.9414</v>
      </c>
      <c r="J26">
        <f t="shared" si="4"/>
        <v>0.91080000000000005</v>
      </c>
      <c r="K26">
        <f t="shared" si="5"/>
        <v>6.7599999999999993E-2</v>
      </c>
      <c r="L26">
        <f t="shared" si="6"/>
        <v>7.4184659999999999E-2</v>
      </c>
      <c r="M26">
        <f t="shared" si="0"/>
        <v>0.38890000000000002</v>
      </c>
      <c r="N26">
        <f t="shared" si="1"/>
        <v>8.8084831707722994E-2</v>
      </c>
      <c r="O26">
        <f t="shared" si="7"/>
        <v>130.31</v>
      </c>
      <c r="P26">
        <f t="shared" si="8"/>
        <v>7.67</v>
      </c>
      <c r="Q26">
        <f t="shared" si="2"/>
        <v>1890.2</v>
      </c>
      <c r="R26">
        <f t="shared" si="9"/>
        <v>1893</v>
      </c>
      <c r="S26">
        <f t="shared" si="10"/>
        <v>1.4500000000000001E-2</v>
      </c>
      <c r="T26">
        <f t="shared" si="11"/>
        <v>3.1700000000000001E-3</v>
      </c>
      <c r="U26" s="38" t="s">
        <v>138</v>
      </c>
      <c r="V26" s="21" t="s">
        <v>99</v>
      </c>
      <c r="W26" s="22"/>
      <c r="X26" s="22"/>
      <c r="Y26" s="22"/>
      <c r="Z26" s="23"/>
      <c r="AA26" s="38" t="s">
        <v>138</v>
      </c>
      <c r="AB26" s="38" t="s">
        <v>138</v>
      </c>
      <c r="AC26" s="38" t="s">
        <v>138</v>
      </c>
      <c r="AD26" s="38" t="s">
        <v>138</v>
      </c>
      <c r="AE26" s="21" t="s">
        <v>102</v>
      </c>
      <c r="AF26" s="22"/>
      <c r="AG26" s="22"/>
      <c r="AH26" s="22"/>
      <c r="AI26" s="23"/>
    </row>
    <row r="27" spans="1:35" x14ac:dyDescent="0.2">
      <c r="A27" s="38" t="s">
        <v>138</v>
      </c>
      <c r="B27" t="s">
        <v>59</v>
      </c>
      <c r="C27">
        <f>(E27-D26)/(E28-D27+E27-D26)</f>
        <v>0.5</v>
      </c>
      <c r="D27">
        <f>E26</f>
        <v>13</v>
      </c>
      <c r="E27">
        <f>D28</f>
        <v>15</v>
      </c>
      <c r="F27">
        <f>ROUND(F28^C27*F26^(1-C27),4)</f>
        <v>2.3767</v>
      </c>
      <c r="G27">
        <f>ROUND(SQRT((((F27-F26)/G26)^2+((F27-F28)/G28)^2+1)/(1/G26^2+1/G28^2)),4)</f>
        <v>0.18140000000000001</v>
      </c>
      <c r="H27">
        <f>(H26+H28)/2</f>
        <v>0.16625000000000001</v>
      </c>
      <c r="I27">
        <f t="shared" si="3"/>
        <v>2.2738999999999998</v>
      </c>
      <c r="J27">
        <f t="shared" si="4"/>
        <v>0.72650000000000015</v>
      </c>
      <c r="K27">
        <f t="shared" si="5"/>
        <v>0.18379999999999999</v>
      </c>
      <c r="L27">
        <f t="shared" si="6"/>
        <v>0.24156125000000006</v>
      </c>
      <c r="M27">
        <f t="shared" si="0"/>
        <v>0.14729999999999999</v>
      </c>
      <c r="N27">
        <f t="shared" si="1"/>
        <v>6.3435618501973171E-2</v>
      </c>
      <c r="O27">
        <f t="shared" si="7"/>
        <v>161.49</v>
      </c>
      <c r="P27">
        <f t="shared" si="8"/>
        <v>14.04</v>
      </c>
      <c r="Q27">
        <f t="shared" si="2"/>
        <v>1859</v>
      </c>
      <c r="R27">
        <f t="shared" si="9"/>
        <v>1874.6</v>
      </c>
      <c r="S27">
        <f t="shared" si="10"/>
        <v>1.0699999999999999E-2</v>
      </c>
      <c r="T27">
        <f t="shared" si="11"/>
        <v>3.4199999999999999E-3</v>
      </c>
      <c r="U27" s="38" t="s">
        <v>138</v>
      </c>
      <c r="V27" s="29" t="s">
        <v>100</v>
      </c>
      <c r="W27" s="30"/>
      <c r="X27" s="30"/>
      <c r="Y27" s="30"/>
      <c r="Z27" s="31"/>
      <c r="AA27" s="38" t="s">
        <v>138</v>
      </c>
      <c r="AB27" s="38" t="s">
        <v>138</v>
      </c>
      <c r="AC27" s="38" t="s">
        <v>138</v>
      </c>
      <c r="AD27" s="38" t="s">
        <v>138</v>
      </c>
      <c r="AE27" s="29" t="s">
        <v>101</v>
      </c>
      <c r="AF27" s="30"/>
      <c r="AG27" s="30"/>
      <c r="AH27" s="30"/>
      <c r="AI27" s="31"/>
    </row>
    <row r="28" spans="1:35" x14ac:dyDescent="0.2">
      <c r="A28" s="38" t="s">
        <v>138</v>
      </c>
      <c r="B28" t="s">
        <v>139</v>
      </c>
      <c r="C28">
        <v>13</v>
      </c>
      <c r="D28">
        <v>15</v>
      </c>
      <c r="E28">
        <v>15.5</v>
      </c>
      <c r="F28">
        <v>2.2057000000000002</v>
      </c>
      <c r="G28">
        <v>5.33E-2</v>
      </c>
      <c r="H28">
        <v>0.1696</v>
      </c>
      <c r="I28">
        <f t="shared" si="3"/>
        <v>2.3586999999999998</v>
      </c>
      <c r="J28">
        <f t="shared" si="4"/>
        <v>0.55550000000000033</v>
      </c>
      <c r="K28">
        <f t="shared" si="5"/>
        <v>6.0999999999999999E-2</v>
      </c>
      <c r="L28">
        <f t="shared" si="6"/>
        <v>4.7106400000000027E-2</v>
      </c>
      <c r="M28">
        <f t="shared" si="0"/>
        <v>0.1002</v>
      </c>
      <c r="N28">
        <f t="shared" si="1"/>
        <v>6.3224361087225553E-2</v>
      </c>
      <c r="O28">
        <f t="shared" si="7"/>
        <v>173.86</v>
      </c>
      <c r="P28">
        <f t="shared" si="8"/>
        <v>20.41</v>
      </c>
      <c r="Q28">
        <f t="shared" si="2"/>
        <v>1846.6</v>
      </c>
      <c r="R28">
        <f t="shared" si="9"/>
        <v>1852.8</v>
      </c>
      <c r="S28">
        <f t="shared" si="10"/>
        <v>6.8999999999999999E-3</v>
      </c>
      <c r="T28">
        <f t="shared" si="11"/>
        <v>3.6700000000000001E-3</v>
      </c>
      <c r="U28" s="38" t="s">
        <v>138</v>
      </c>
      <c r="V28" s="38" t="s">
        <v>138</v>
      </c>
      <c r="W28" s="38" t="s">
        <v>138</v>
      </c>
      <c r="X28" s="38" t="s">
        <v>138</v>
      </c>
      <c r="Y28" s="38" t="s">
        <v>138</v>
      </c>
      <c r="Z28" s="38" t="s">
        <v>138</v>
      </c>
      <c r="AA28" s="38" t="s">
        <v>138</v>
      </c>
      <c r="AB28" s="38" t="s">
        <v>138</v>
      </c>
      <c r="AC28" s="38" t="s">
        <v>138</v>
      </c>
      <c r="AD28" s="38" t="s">
        <v>138</v>
      </c>
      <c r="AE28" s="38" t="s">
        <v>138</v>
      </c>
      <c r="AF28" s="38" t="s">
        <v>138</v>
      </c>
      <c r="AG28" s="38" t="s">
        <v>138</v>
      </c>
      <c r="AH28" s="38" t="s">
        <v>138</v>
      </c>
      <c r="AI28" s="38" t="s">
        <v>138</v>
      </c>
    </row>
    <row r="29" spans="1:35" x14ac:dyDescent="0.2">
      <c r="A29" s="38" t="s">
        <v>138</v>
      </c>
      <c r="B29" t="s">
        <v>59</v>
      </c>
      <c r="C29">
        <f>(E29-D28)/(E30-D29+E29-D28)</f>
        <v>0.5</v>
      </c>
      <c r="D29">
        <f>E28</f>
        <v>15.5</v>
      </c>
      <c r="E29">
        <f>D30</f>
        <v>16.5</v>
      </c>
      <c r="F29">
        <f>ROUND(F30^C29*F28^(1-C29),4)</f>
        <v>1.9412</v>
      </c>
      <c r="G29">
        <f>ROUND(SQRT((((F29-F28)/G28)^2+((F29-F30)/G30)^2+1)/(1/G28^2+1/G30^2)),4)</f>
        <v>0.25359999999999999</v>
      </c>
      <c r="H29">
        <f>(H28+H30)/2</f>
        <v>0.17709999999999998</v>
      </c>
      <c r="I29">
        <f t="shared" si="3"/>
        <v>2.5358000000000001</v>
      </c>
      <c r="J29">
        <f t="shared" si="4"/>
        <v>0.29100000000000015</v>
      </c>
      <c r="K29">
        <f t="shared" si="5"/>
        <v>0.25530000000000003</v>
      </c>
      <c r="L29">
        <f t="shared" si="6"/>
        <v>5.1536100000000022E-2</v>
      </c>
      <c r="M29">
        <f t="shared" si="0"/>
        <v>4.87E-2</v>
      </c>
      <c r="N29">
        <f t="shared" si="1"/>
        <v>4.4193296970366232E-2</v>
      </c>
      <c r="O29">
        <f t="shared" si="7"/>
        <v>197.03</v>
      </c>
      <c r="P29">
        <f t="shared" si="8"/>
        <v>29.24</v>
      </c>
      <c r="Q29">
        <f t="shared" si="2"/>
        <v>1823.4</v>
      </c>
      <c r="R29">
        <f t="shared" si="9"/>
        <v>1835</v>
      </c>
      <c r="S29">
        <f t="shared" si="10"/>
        <v>7.6E-3</v>
      </c>
      <c r="T29">
        <f t="shared" si="11"/>
        <v>6.8399999999999997E-3</v>
      </c>
      <c r="U29" s="38" t="s">
        <v>138</v>
      </c>
      <c r="V29" s="38" t="s">
        <v>138</v>
      </c>
      <c r="W29" s="38" t="s">
        <v>138</v>
      </c>
      <c r="X29" s="38" t="s">
        <v>138</v>
      </c>
      <c r="Y29" s="38" t="s">
        <v>138</v>
      </c>
      <c r="Z29" s="38" t="s">
        <v>138</v>
      </c>
      <c r="AA29" s="38" t="s">
        <v>138</v>
      </c>
      <c r="AB29" s="38" t="s">
        <v>138</v>
      </c>
      <c r="AC29" s="38" t="s">
        <v>138</v>
      </c>
      <c r="AD29" s="38" t="s">
        <v>138</v>
      </c>
      <c r="AE29" s="38" t="s">
        <v>138</v>
      </c>
      <c r="AF29" s="38" t="s">
        <v>138</v>
      </c>
      <c r="AG29" s="38" t="s">
        <v>138</v>
      </c>
      <c r="AH29" s="38" t="s">
        <v>138</v>
      </c>
      <c r="AI29" s="38" t="s">
        <v>138</v>
      </c>
    </row>
    <row r="30" spans="1:35" x14ac:dyDescent="0.2">
      <c r="A30" s="38" t="s">
        <v>138</v>
      </c>
      <c r="B30" t="s">
        <v>139</v>
      </c>
      <c r="C30">
        <v>14</v>
      </c>
      <c r="D30">
        <v>16.5</v>
      </c>
      <c r="E30">
        <v>17</v>
      </c>
      <c r="F30">
        <v>1.7083999999999999</v>
      </c>
      <c r="G30">
        <v>5.8099999999999999E-2</v>
      </c>
      <c r="H30">
        <v>0.18459999999999999</v>
      </c>
      <c r="I30">
        <f t="shared" si="3"/>
        <v>2.6280999999999999</v>
      </c>
      <c r="J30">
        <f t="shared" si="4"/>
        <v>5.8200000000000029E-2</v>
      </c>
      <c r="K30">
        <f t="shared" si="5"/>
        <v>6.5299999999999997E-2</v>
      </c>
      <c r="L30">
        <f t="shared" si="6"/>
        <v>5.3718600000000026E-3</v>
      </c>
      <c r="M30">
        <f t="shared" si="0"/>
        <v>4.3299999999999998E-2</v>
      </c>
      <c r="N30">
        <f t="shared" si="1"/>
        <v>4.3780366350852765E-2</v>
      </c>
      <c r="O30">
        <f t="shared" si="7"/>
        <v>200.8</v>
      </c>
      <c r="P30">
        <f t="shared" si="8"/>
        <v>32.56</v>
      </c>
      <c r="Q30">
        <f t="shared" si="2"/>
        <v>1819.7</v>
      </c>
      <c r="R30">
        <f t="shared" si="9"/>
        <v>1821.5500000000002</v>
      </c>
      <c r="S30">
        <f t="shared" si="10"/>
        <v>2.4500000000000001E-2</v>
      </c>
      <c r="T30">
        <f t="shared" si="11"/>
        <v>3.4729999999999997E-2</v>
      </c>
      <c r="U30" s="38" t="s">
        <v>138</v>
      </c>
      <c r="V30" s="38" t="s">
        <v>138</v>
      </c>
      <c r="W30" s="38" t="s">
        <v>138</v>
      </c>
      <c r="X30" s="38" t="s">
        <v>138</v>
      </c>
      <c r="Y30" s="38" t="s">
        <v>138</v>
      </c>
      <c r="Z30" s="38" t="s">
        <v>138</v>
      </c>
      <c r="AA30" s="38" t="s">
        <v>138</v>
      </c>
      <c r="AB30" s="38" t="s">
        <v>138</v>
      </c>
      <c r="AC30" s="38" t="s">
        <v>138</v>
      </c>
      <c r="AD30" s="38" t="s">
        <v>138</v>
      </c>
      <c r="AE30" s="38" t="s">
        <v>138</v>
      </c>
      <c r="AF30" s="38" t="s">
        <v>138</v>
      </c>
      <c r="AG30" s="38" t="s">
        <v>138</v>
      </c>
      <c r="AH30" s="38" t="s">
        <v>138</v>
      </c>
      <c r="AI30" s="38" t="s">
        <v>138</v>
      </c>
    </row>
    <row r="31" spans="1:35" x14ac:dyDescent="0.2">
      <c r="A31" s="38" t="s">
        <v>138</v>
      </c>
      <c r="B31" t="s">
        <v>59</v>
      </c>
      <c r="C31">
        <f>(E31-D30)/(E32-D31+E31-D30)</f>
        <v>0.5</v>
      </c>
      <c r="D31">
        <f>E30</f>
        <v>17</v>
      </c>
      <c r="E31">
        <f>D32</f>
        <v>17.5</v>
      </c>
      <c r="F31">
        <f>ROUND(F32^C31*F30^(1-C31),4)</f>
        <v>1.8323</v>
      </c>
      <c r="G31">
        <f>ROUND(SQRT((((F31-F30)/G30)^2+((F31-F32)/G32)^2+1)/(1/G30^2+1/G32^2)),4)</f>
        <v>0.13489999999999999</v>
      </c>
      <c r="H31">
        <f>(H30+H32)/2</f>
        <v>0.17835000000000001</v>
      </c>
      <c r="I31">
        <f t="shared" si="3"/>
        <v>2.7172999999999998</v>
      </c>
      <c r="J31">
        <f t="shared" si="4"/>
        <v>0.18210000000000015</v>
      </c>
      <c r="K31">
        <f t="shared" si="5"/>
        <v>0.1381</v>
      </c>
      <c r="L31">
        <f t="shared" si="6"/>
        <v>1.6238767500000015E-2</v>
      </c>
      <c r="M31">
        <f t="shared" si="0"/>
        <v>2.7099999999999999E-2</v>
      </c>
      <c r="N31">
        <f t="shared" si="1"/>
        <v>4.2012612276378682E-2</v>
      </c>
      <c r="O31">
        <f t="shared" si="7"/>
        <v>215.85</v>
      </c>
      <c r="P31">
        <f t="shared" si="8"/>
        <v>49.84</v>
      </c>
      <c r="Q31">
        <f t="shared" si="2"/>
        <v>1804.6</v>
      </c>
      <c r="R31">
        <f t="shared" si="9"/>
        <v>1812.15</v>
      </c>
      <c r="S31">
        <f t="shared" si="10"/>
        <v>5.8999999999999999E-3</v>
      </c>
      <c r="T31">
        <f t="shared" si="11"/>
        <v>8.1499999999999993E-3</v>
      </c>
      <c r="U31" s="38" t="s">
        <v>138</v>
      </c>
      <c r="V31" s="38" t="s">
        <v>138</v>
      </c>
      <c r="W31" s="38" t="s">
        <v>138</v>
      </c>
      <c r="X31" s="38" t="s">
        <v>138</v>
      </c>
      <c r="Y31" s="38" t="s">
        <v>138</v>
      </c>
      <c r="Z31" s="38" t="s">
        <v>138</v>
      </c>
      <c r="AA31" s="38" t="s">
        <v>138</v>
      </c>
      <c r="AB31" s="38" t="s">
        <v>138</v>
      </c>
      <c r="AC31" s="38" t="s">
        <v>138</v>
      </c>
      <c r="AD31" s="38" t="s">
        <v>138</v>
      </c>
      <c r="AE31" s="38" t="s">
        <v>138</v>
      </c>
      <c r="AF31" s="38" t="s">
        <v>138</v>
      </c>
      <c r="AG31" s="38" t="s">
        <v>138</v>
      </c>
      <c r="AH31" s="38" t="s">
        <v>138</v>
      </c>
      <c r="AI31" s="38" t="s">
        <v>138</v>
      </c>
    </row>
    <row r="32" spans="1:35" x14ac:dyDescent="0.2">
      <c r="A32" s="38" t="s">
        <v>138</v>
      </c>
      <c r="B32" t="s">
        <v>139</v>
      </c>
      <c r="C32">
        <v>15</v>
      </c>
      <c r="D32">
        <v>17.5</v>
      </c>
      <c r="E32">
        <v>18</v>
      </c>
      <c r="F32">
        <v>1.9652000000000001</v>
      </c>
      <c r="G32">
        <v>5.8599999999999999E-2</v>
      </c>
      <c r="H32">
        <v>0.1721</v>
      </c>
      <c r="I32">
        <f t="shared" si="3"/>
        <v>2.8033999999999999</v>
      </c>
      <c r="J32">
        <f t="shared" si="4"/>
        <v>0.31500000000000017</v>
      </c>
      <c r="K32">
        <f t="shared" si="5"/>
        <v>6.5699999999999995E-2</v>
      </c>
      <c r="L32">
        <f t="shared" si="6"/>
        <v>2.7105750000000015E-2</v>
      </c>
      <c r="N32">
        <f>dCs*Lmax/2</f>
        <v>4.1630489999999999E-2</v>
      </c>
      <c r="O32" t="s">
        <v>139</v>
      </c>
      <c r="P32" t="s">
        <v>139</v>
      </c>
      <c r="Q32" t="s">
        <v>139</v>
      </c>
      <c r="R32" t="s">
        <v>139</v>
      </c>
      <c r="S32" t="s">
        <v>139</v>
      </c>
      <c r="T32" t="s">
        <v>139</v>
      </c>
      <c r="U32" s="38" t="s">
        <v>138</v>
      </c>
      <c r="V32" s="38" t="s">
        <v>138</v>
      </c>
      <c r="W32" s="38" t="s">
        <v>138</v>
      </c>
      <c r="X32" s="38" t="s">
        <v>138</v>
      </c>
      <c r="Y32" s="38" t="s">
        <v>138</v>
      </c>
      <c r="Z32" s="38" t="s">
        <v>138</v>
      </c>
      <c r="AA32" s="38" t="s">
        <v>138</v>
      </c>
      <c r="AB32" s="38" t="s">
        <v>138</v>
      </c>
      <c r="AC32" s="38" t="s">
        <v>138</v>
      </c>
      <c r="AD32" s="38" t="s">
        <v>138</v>
      </c>
      <c r="AE32" s="38" t="s">
        <v>138</v>
      </c>
      <c r="AF32" s="38" t="s">
        <v>138</v>
      </c>
      <c r="AG32" s="38" t="s">
        <v>138</v>
      </c>
      <c r="AH32" s="38" t="s">
        <v>138</v>
      </c>
      <c r="AI32" s="38" t="s">
        <v>138</v>
      </c>
    </row>
    <row r="33" spans="1:35" x14ac:dyDescent="0.2">
      <c r="A33" s="38" t="s">
        <v>138</v>
      </c>
      <c r="B33" t="s">
        <v>139</v>
      </c>
      <c r="C33">
        <v>16</v>
      </c>
      <c r="D33">
        <v>22.5</v>
      </c>
      <c r="E33">
        <v>23</v>
      </c>
      <c r="F33">
        <v>1.6728000000000001</v>
      </c>
      <c r="G33">
        <v>3.6200000000000003E-2</v>
      </c>
      <c r="H33">
        <v>0.1552</v>
      </c>
      <c r="I33" t="s">
        <v>139</v>
      </c>
      <c r="J33" t="s">
        <v>139</v>
      </c>
      <c r="K33" t="s">
        <v>139</v>
      </c>
      <c r="L33" t="s">
        <v>139</v>
      </c>
      <c r="M33" t="s">
        <v>139</v>
      </c>
      <c r="N33" t="s">
        <v>139</v>
      </c>
      <c r="O33" t="s">
        <v>139</v>
      </c>
      <c r="P33" t="s">
        <v>139</v>
      </c>
      <c r="Q33" t="s">
        <v>139</v>
      </c>
      <c r="R33" t="s">
        <v>139</v>
      </c>
      <c r="S33" t="s">
        <v>139</v>
      </c>
      <c r="T33" t="s">
        <v>139</v>
      </c>
      <c r="U33" s="38" t="s">
        <v>138</v>
      </c>
      <c r="V33" s="38" t="s">
        <v>138</v>
      </c>
      <c r="W33" s="38" t="s">
        <v>138</v>
      </c>
      <c r="X33" s="38" t="s">
        <v>138</v>
      </c>
      <c r="Y33" s="38" t="s">
        <v>138</v>
      </c>
      <c r="Z33" s="38" t="s">
        <v>138</v>
      </c>
      <c r="AA33" s="38" t="s">
        <v>138</v>
      </c>
      <c r="AB33" s="38" t="s">
        <v>138</v>
      </c>
      <c r="AC33" s="38" t="s">
        <v>138</v>
      </c>
      <c r="AD33" s="38" t="s">
        <v>138</v>
      </c>
      <c r="AE33" s="38" t="s">
        <v>138</v>
      </c>
      <c r="AF33" s="38" t="s">
        <v>138</v>
      </c>
      <c r="AG33" s="38" t="s">
        <v>138</v>
      </c>
      <c r="AH33" s="38" t="s">
        <v>138</v>
      </c>
      <c r="AI33" s="38" t="s">
        <v>138</v>
      </c>
    </row>
    <row r="34" spans="1:35" x14ac:dyDescent="0.2">
      <c r="A34" s="38" t="s">
        <v>138</v>
      </c>
      <c r="B34" t="s">
        <v>139</v>
      </c>
      <c r="C34">
        <v>17</v>
      </c>
      <c r="D34">
        <v>26.5</v>
      </c>
      <c r="E34">
        <v>27</v>
      </c>
      <c r="F34">
        <v>1.6608000000000001</v>
      </c>
      <c r="G34">
        <v>5.1200000000000002E-2</v>
      </c>
      <c r="H34">
        <v>0.18</v>
      </c>
      <c r="I34" t="s">
        <v>139</v>
      </c>
      <c r="J34" t="s">
        <v>139</v>
      </c>
      <c r="K34" t="s">
        <v>139</v>
      </c>
      <c r="L34" t="s">
        <v>139</v>
      </c>
      <c r="M34" t="s">
        <v>139</v>
      </c>
      <c r="N34" t="s">
        <v>139</v>
      </c>
      <c r="O34" t="s">
        <v>139</v>
      </c>
      <c r="P34" t="s">
        <v>139</v>
      </c>
      <c r="Q34" t="s">
        <v>139</v>
      </c>
      <c r="R34" t="s">
        <v>139</v>
      </c>
      <c r="S34" t="s">
        <v>139</v>
      </c>
      <c r="T34" t="s">
        <v>139</v>
      </c>
      <c r="U34" s="38" t="s">
        <v>138</v>
      </c>
      <c r="V34" s="38" t="s">
        <v>138</v>
      </c>
      <c r="W34" s="38" t="s">
        <v>138</v>
      </c>
      <c r="X34" s="38" t="s">
        <v>138</v>
      </c>
      <c r="Y34" s="38" t="s">
        <v>138</v>
      </c>
      <c r="Z34" s="38" t="s">
        <v>138</v>
      </c>
      <c r="AA34" s="38" t="s">
        <v>138</v>
      </c>
      <c r="AB34" s="38" t="s">
        <v>138</v>
      </c>
      <c r="AC34" s="38" t="s">
        <v>138</v>
      </c>
      <c r="AD34" s="38" t="s">
        <v>138</v>
      </c>
      <c r="AE34" s="38" t="s">
        <v>138</v>
      </c>
      <c r="AF34" s="38" t="s">
        <v>138</v>
      </c>
      <c r="AG34" s="38" t="s">
        <v>138</v>
      </c>
      <c r="AH34" s="38" t="s">
        <v>138</v>
      </c>
      <c r="AI34" s="38" t="s">
        <v>138</v>
      </c>
    </row>
    <row r="35" spans="1:35" x14ac:dyDescent="0.2">
      <c r="A35" s="38" t="s">
        <v>138</v>
      </c>
      <c r="B35" t="s">
        <v>139</v>
      </c>
      <c r="C35">
        <v>18</v>
      </c>
      <c r="D35">
        <v>29</v>
      </c>
      <c r="E35">
        <v>29.5</v>
      </c>
      <c r="F35">
        <v>1.6236999999999999</v>
      </c>
      <c r="G35">
        <v>5.0299999999999997E-2</v>
      </c>
      <c r="H35">
        <v>0.18160000000000001</v>
      </c>
      <c r="I35" t="s">
        <v>139</v>
      </c>
      <c r="J35" t="s">
        <v>139</v>
      </c>
      <c r="K35" t="s">
        <v>139</v>
      </c>
      <c r="L35" t="s">
        <v>139</v>
      </c>
      <c r="M35" t="s">
        <v>139</v>
      </c>
      <c r="N35" t="s">
        <v>139</v>
      </c>
      <c r="O35" t="s">
        <v>139</v>
      </c>
      <c r="P35" t="s">
        <v>139</v>
      </c>
      <c r="Q35" t="s">
        <v>139</v>
      </c>
      <c r="R35" t="s">
        <v>139</v>
      </c>
      <c r="S35" t="s">
        <v>139</v>
      </c>
      <c r="T35" t="s">
        <v>139</v>
      </c>
      <c r="U35" s="38" t="s">
        <v>138</v>
      </c>
      <c r="V35" s="38" t="s">
        <v>138</v>
      </c>
      <c r="W35" s="38" t="s">
        <v>138</v>
      </c>
      <c r="X35" s="38" t="s">
        <v>138</v>
      </c>
      <c r="Y35" s="38" t="s">
        <v>138</v>
      </c>
      <c r="Z35" s="38" t="s">
        <v>138</v>
      </c>
      <c r="AA35" s="38" t="s">
        <v>138</v>
      </c>
      <c r="AB35" s="38" t="s">
        <v>138</v>
      </c>
      <c r="AC35" s="38" t="s">
        <v>138</v>
      </c>
      <c r="AD35" s="38" t="s">
        <v>138</v>
      </c>
      <c r="AE35" s="38" t="s">
        <v>138</v>
      </c>
      <c r="AF35" s="38" t="s">
        <v>138</v>
      </c>
      <c r="AG35" s="38" t="s">
        <v>138</v>
      </c>
      <c r="AH35" s="38" t="s">
        <v>138</v>
      </c>
      <c r="AI35" s="38" t="s">
        <v>138</v>
      </c>
    </row>
    <row r="36" spans="1:35" x14ac:dyDescent="0.2">
      <c r="A36" s="38" t="s">
        <v>138</v>
      </c>
      <c r="B36" t="s">
        <v>139</v>
      </c>
      <c r="C36">
        <v>19</v>
      </c>
      <c r="D36">
        <v>30</v>
      </c>
      <c r="E36">
        <v>30.5</v>
      </c>
      <c r="F36">
        <v>1.7036</v>
      </c>
      <c r="G36">
        <v>5.21E-2</v>
      </c>
      <c r="H36">
        <v>0.33429999999999999</v>
      </c>
      <c r="I36" t="s">
        <v>139</v>
      </c>
      <c r="J36" t="s">
        <v>139</v>
      </c>
      <c r="K36" t="s">
        <v>139</v>
      </c>
      <c r="L36" t="s">
        <v>139</v>
      </c>
      <c r="M36" t="s">
        <v>139</v>
      </c>
      <c r="N36" t="s">
        <v>139</v>
      </c>
      <c r="O36" t="s">
        <v>139</v>
      </c>
      <c r="P36" t="s">
        <v>139</v>
      </c>
      <c r="Q36" t="s">
        <v>139</v>
      </c>
      <c r="R36" t="s">
        <v>139</v>
      </c>
      <c r="S36" t="s">
        <v>139</v>
      </c>
      <c r="T36" t="s">
        <v>139</v>
      </c>
      <c r="U36" s="38" t="s">
        <v>138</v>
      </c>
      <c r="V36" s="38" t="s">
        <v>138</v>
      </c>
      <c r="W36" s="38" t="s">
        <v>138</v>
      </c>
      <c r="X36" s="38" t="s">
        <v>138</v>
      </c>
      <c r="Y36" s="38" t="s">
        <v>138</v>
      </c>
      <c r="Z36" s="38" t="s">
        <v>138</v>
      </c>
      <c r="AA36" s="38" t="s">
        <v>138</v>
      </c>
      <c r="AB36" s="38" t="s">
        <v>138</v>
      </c>
      <c r="AC36" s="38" t="s">
        <v>138</v>
      </c>
      <c r="AD36" s="38" t="s">
        <v>138</v>
      </c>
      <c r="AE36" s="38" t="s">
        <v>138</v>
      </c>
      <c r="AF36" s="38" t="s">
        <v>138</v>
      </c>
      <c r="AG36" s="38" t="s">
        <v>138</v>
      </c>
      <c r="AH36" s="38" t="s">
        <v>138</v>
      </c>
      <c r="AI36" s="38" t="s">
        <v>138</v>
      </c>
    </row>
    <row r="37" spans="1:35" x14ac:dyDescent="0.2">
      <c r="A37" s="38" t="s">
        <v>138</v>
      </c>
      <c r="B37" t="s">
        <v>139</v>
      </c>
      <c r="C37">
        <v>20</v>
      </c>
      <c r="D37">
        <v>32.5</v>
      </c>
      <c r="E37">
        <v>33</v>
      </c>
      <c r="F37">
        <v>1.5724</v>
      </c>
      <c r="G37">
        <v>5.0599999999999999E-2</v>
      </c>
      <c r="H37">
        <v>0.24959999999999999</v>
      </c>
      <c r="I37" t="s">
        <v>139</v>
      </c>
      <c r="J37" t="s">
        <v>139</v>
      </c>
      <c r="K37" t="s">
        <v>139</v>
      </c>
      <c r="L37" t="s">
        <v>139</v>
      </c>
      <c r="M37" t="s">
        <v>139</v>
      </c>
      <c r="N37" t="s">
        <v>139</v>
      </c>
      <c r="O37" t="s">
        <v>139</v>
      </c>
      <c r="P37" t="s">
        <v>139</v>
      </c>
      <c r="Q37" t="s">
        <v>139</v>
      </c>
      <c r="R37" t="s">
        <v>139</v>
      </c>
      <c r="S37" t="s">
        <v>139</v>
      </c>
      <c r="T37" t="s">
        <v>139</v>
      </c>
      <c r="U37" s="38" t="s">
        <v>138</v>
      </c>
      <c r="V37" s="38" t="s">
        <v>138</v>
      </c>
      <c r="W37" s="38" t="s">
        <v>138</v>
      </c>
      <c r="X37" s="38" t="s">
        <v>138</v>
      </c>
      <c r="Y37" s="38" t="s">
        <v>138</v>
      </c>
      <c r="Z37" s="38" t="s">
        <v>138</v>
      </c>
      <c r="AA37" s="38" t="s">
        <v>138</v>
      </c>
      <c r="AB37" s="38" t="s">
        <v>138</v>
      </c>
      <c r="AC37" s="38" t="s">
        <v>138</v>
      </c>
      <c r="AD37" s="38" t="s">
        <v>138</v>
      </c>
      <c r="AE37" s="38" t="s">
        <v>138</v>
      </c>
      <c r="AF37" s="38" t="s">
        <v>138</v>
      </c>
      <c r="AG37" s="38" t="s">
        <v>138</v>
      </c>
      <c r="AH37" s="38" t="s">
        <v>138</v>
      </c>
      <c r="AI37" s="38" t="s">
        <v>138</v>
      </c>
    </row>
    <row r="75" spans="9:11" x14ac:dyDescent="0.2">
      <c r="I75" t="s">
        <v>60</v>
      </c>
      <c r="J75" t="s">
        <v>61</v>
      </c>
      <c r="K75" t="s">
        <v>62</v>
      </c>
    </row>
    <row r="76" spans="9:11" x14ac:dyDescent="0.2">
      <c r="I76">
        <v>0.99060999999999999</v>
      </c>
      <c r="J76">
        <f>ROUND((F5-Cs)/I76+Cs,4)</f>
        <v>47.046300000000002</v>
      </c>
      <c r="K76">
        <f>ROUND(SQRT((SQRT(G5^2+dCs^2)/I76)^2+dCs^2),4)</f>
        <v>1.028</v>
      </c>
    </row>
    <row r="77" spans="9:11" x14ac:dyDescent="0.2">
      <c r="I77">
        <v>0.99997000000000003</v>
      </c>
      <c r="J77">
        <f>ROUND(J78^$C$6*J76^(1-$C$6),4)</f>
        <v>45.7607</v>
      </c>
      <c r="K77">
        <f>ROUND(SQRT((((J77-J76)/K76)^2+((J77-J78)/K78)^2+1)/(1/K76^2+1/K78^2)),4)</f>
        <v>1.4240999999999999</v>
      </c>
    </row>
    <row r="78" spans="9:11" x14ac:dyDescent="0.2">
      <c r="I78">
        <v>1</v>
      </c>
      <c r="J78">
        <f>ROUND((F7-Cs)/I78+Cs,4)</f>
        <v>44.510199999999998</v>
      </c>
      <c r="K78">
        <f>ROUND(SQRT((SQRT(G7^2+dCs^2)/I78)^2+dCs^2),4)</f>
        <v>0.84870000000000001</v>
      </c>
    </row>
  </sheetData>
  <printOptions horizontalCentered="1" verticalCentered="1" gridLines="1"/>
  <pageMargins left="0.4" right="0.4" top="0.75" bottom="0.75" header="0.5" footer="0.5"/>
  <pageSetup orientation="landscape" horizontalDpi="4294967292" verticalDpi="4294967292"/>
  <headerFooter>
    <oddHeader xml:space="preserve">&amp;C&amp;BMirror Lake, Utah:  MIR01&amp;R&amp;BCoring Date:  6/23/2020  </oddHeader>
    <oddFooter>&amp;L&amp;B&amp;D&amp;C&amp;BLead-210 Dating&amp;R&amp;BD.R. Engstrom   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96FB1-8A9A-A740-A8E1-510A48BF1245}">
  <dimension ref="A1:H13"/>
  <sheetViews>
    <sheetView workbookViewId="0">
      <selection activeCell="B2" sqref="B2"/>
    </sheetView>
  </sheetViews>
  <sheetFormatPr baseColWidth="10" defaultRowHeight="14" x14ac:dyDescent="0.2"/>
  <cols>
    <col min="7" max="7" width="18.5703125" bestFit="1" customWidth="1"/>
  </cols>
  <sheetData>
    <row r="1" spans="1:8" x14ac:dyDescent="0.2">
      <c r="A1" t="s">
        <v>111</v>
      </c>
      <c r="B1" t="s">
        <v>112</v>
      </c>
      <c r="C1" t="s">
        <v>103</v>
      </c>
      <c r="D1" t="s">
        <v>104</v>
      </c>
      <c r="E1" t="s">
        <v>105</v>
      </c>
      <c r="F1" t="s">
        <v>106</v>
      </c>
      <c r="G1" t="s">
        <v>107</v>
      </c>
      <c r="H1" t="s">
        <v>108</v>
      </c>
    </row>
    <row r="2" spans="1:8" x14ac:dyDescent="0.2">
      <c r="A2" t="s">
        <v>0</v>
      </c>
      <c r="B2" t="s">
        <v>113</v>
      </c>
      <c r="C2">
        <v>3</v>
      </c>
      <c r="D2" t="s">
        <v>109</v>
      </c>
      <c r="E2">
        <v>2</v>
      </c>
      <c r="F2">
        <v>3.6</v>
      </c>
      <c r="G2">
        <v>10.88</v>
      </c>
      <c r="H2">
        <v>9.7221068800000019</v>
      </c>
    </row>
    <row r="3" spans="1:8" x14ac:dyDescent="0.2">
      <c r="A3" t="s">
        <v>0</v>
      </c>
      <c r="B3" t="s">
        <v>114</v>
      </c>
      <c r="C3">
        <v>5</v>
      </c>
      <c r="D3" t="s">
        <v>110</v>
      </c>
      <c r="E3">
        <v>2</v>
      </c>
      <c r="F3">
        <v>4.2</v>
      </c>
      <c r="G3">
        <v>9.7799999999999994</v>
      </c>
      <c r="H3">
        <v>9.5658571200000004</v>
      </c>
    </row>
    <row r="4" spans="1:8" x14ac:dyDescent="0.2">
      <c r="A4" t="s">
        <v>0</v>
      </c>
      <c r="B4" t="s">
        <v>115</v>
      </c>
      <c r="C4">
        <v>5.5</v>
      </c>
      <c r="D4" t="s">
        <v>110</v>
      </c>
      <c r="E4">
        <v>2</v>
      </c>
      <c r="F4">
        <v>1.6</v>
      </c>
      <c r="G4">
        <v>13</v>
      </c>
      <c r="H4">
        <v>8.5687680000000004</v>
      </c>
    </row>
    <row r="5" spans="1:8" x14ac:dyDescent="0.2">
      <c r="A5" t="s">
        <v>0</v>
      </c>
      <c r="B5" t="s">
        <v>116</v>
      </c>
      <c r="C5">
        <v>6</v>
      </c>
      <c r="D5" t="s">
        <v>110</v>
      </c>
      <c r="E5">
        <v>2</v>
      </c>
      <c r="F5">
        <v>4.5</v>
      </c>
      <c r="G5">
        <v>13.23</v>
      </c>
      <c r="H5">
        <v>13.531974750000002</v>
      </c>
    </row>
    <row r="6" spans="1:8" x14ac:dyDescent="0.2">
      <c r="A6" t="s">
        <v>0</v>
      </c>
      <c r="B6" t="s">
        <v>117</v>
      </c>
      <c r="C6">
        <v>6.5</v>
      </c>
      <c r="D6" t="s">
        <v>110</v>
      </c>
      <c r="E6">
        <v>2</v>
      </c>
      <c r="F6">
        <v>1.7</v>
      </c>
      <c r="G6">
        <v>6.53</v>
      </c>
      <c r="H6">
        <v>4.3694123700000009</v>
      </c>
    </row>
    <row r="7" spans="1:8" ht="15" customHeight="1" x14ac:dyDescent="0.2">
      <c r="A7" t="s">
        <v>0</v>
      </c>
      <c r="B7" t="s">
        <v>118</v>
      </c>
      <c r="C7">
        <v>7</v>
      </c>
      <c r="D7" t="s">
        <v>110</v>
      </c>
      <c r="E7">
        <v>2</v>
      </c>
      <c r="F7">
        <v>1.4</v>
      </c>
      <c r="G7">
        <v>5.48</v>
      </c>
      <c r="H7">
        <v>3.5055340800000003</v>
      </c>
    </row>
    <row r="8" spans="1:8" x14ac:dyDescent="0.2">
      <c r="A8" t="s">
        <v>0</v>
      </c>
      <c r="B8" t="s">
        <v>119</v>
      </c>
      <c r="C8">
        <v>7.5</v>
      </c>
      <c r="D8" t="s">
        <v>109</v>
      </c>
      <c r="E8">
        <v>2</v>
      </c>
      <c r="F8">
        <v>4.5999999999999996</v>
      </c>
      <c r="G8">
        <v>9.56</v>
      </c>
      <c r="H8">
        <v>9.9241977600000002</v>
      </c>
    </row>
    <row r="9" spans="1:8" x14ac:dyDescent="0.2">
      <c r="A9" t="s">
        <v>0</v>
      </c>
      <c r="B9" t="s">
        <v>120</v>
      </c>
      <c r="C9">
        <v>8</v>
      </c>
      <c r="D9" t="s">
        <v>109</v>
      </c>
      <c r="E9">
        <v>2</v>
      </c>
      <c r="F9">
        <v>1.7</v>
      </c>
      <c r="G9">
        <v>8.09</v>
      </c>
      <c r="H9">
        <v>5.4132536099999999</v>
      </c>
    </row>
    <row r="10" spans="1:8" x14ac:dyDescent="0.2">
      <c r="A10" t="s">
        <v>0</v>
      </c>
      <c r="B10" t="s">
        <v>121</v>
      </c>
      <c r="C10">
        <v>8.5</v>
      </c>
      <c r="D10" t="s">
        <v>109</v>
      </c>
      <c r="E10">
        <v>2</v>
      </c>
      <c r="F10">
        <v>4.5999999999999996</v>
      </c>
      <c r="G10">
        <v>5.65</v>
      </c>
      <c r="H10">
        <v>5.8652424000000005</v>
      </c>
    </row>
    <row r="11" spans="1:8" x14ac:dyDescent="0.2">
      <c r="A11" t="s">
        <v>0</v>
      </c>
      <c r="B11" t="s">
        <v>122</v>
      </c>
      <c r="C11">
        <v>9.5</v>
      </c>
      <c r="D11" t="s">
        <v>109</v>
      </c>
      <c r="E11">
        <v>2</v>
      </c>
      <c r="F11">
        <v>3</v>
      </c>
      <c r="G11">
        <v>1.35</v>
      </c>
      <c r="H11">
        <v>1.1010600000000001</v>
      </c>
    </row>
    <row r="12" spans="1:8" x14ac:dyDescent="0.2">
      <c r="A12" t="s">
        <v>0</v>
      </c>
      <c r="B12" t="s">
        <v>123</v>
      </c>
      <c r="C12">
        <v>10</v>
      </c>
      <c r="D12" t="s">
        <v>109</v>
      </c>
      <c r="E12">
        <v>2</v>
      </c>
      <c r="F12">
        <v>3.7</v>
      </c>
      <c r="G12">
        <v>3.94</v>
      </c>
      <c r="H12">
        <v>3.5744034600000001</v>
      </c>
    </row>
    <row r="13" spans="1:8" x14ac:dyDescent="0.2">
      <c r="A13" t="s">
        <v>0</v>
      </c>
      <c r="B13" t="s">
        <v>124</v>
      </c>
      <c r="C13">
        <v>10.5</v>
      </c>
      <c r="D13" t="s">
        <v>109</v>
      </c>
      <c r="E13">
        <v>2</v>
      </c>
      <c r="F13">
        <v>1.7</v>
      </c>
      <c r="G13">
        <v>5.05</v>
      </c>
      <c r="H13">
        <v>3.3791014500000003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2"/>
  <sheetViews>
    <sheetView workbookViewId="0">
      <selection activeCell="E2" sqref="E2"/>
    </sheetView>
  </sheetViews>
  <sheetFormatPr baseColWidth="10" defaultRowHeight="14" x14ac:dyDescent="0.2"/>
  <sheetData>
    <row r="1" spans="1:5" x14ac:dyDescent="0.2">
      <c r="A1" s="18" t="s">
        <v>35</v>
      </c>
      <c r="B1" s="18" t="s">
        <v>36</v>
      </c>
      <c r="C1" s="18" t="s">
        <v>37</v>
      </c>
      <c r="D1" s="18" t="s">
        <v>38</v>
      </c>
      <c r="E1" s="18" t="s">
        <v>14</v>
      </c>
    </row>
    <row r="2" spans="1:5" x14ac:dyDescent="0.2">
      <c r="A2" s="12">
        <v>0</v>
      </c>
      <c r="B2" s="12">
        <v>0.5</v>
      </c>
      <c r="C2" s="19">
        <f>100-D2</f>
        <v>7.582417582417591</v>
      </c>
      <c r="D2" s="12">
        <v>92.417582417582409</v>
      </c>
      <c r="E2" s="11">
        <f>ROUND(C2/(C2/2.3+D2),4)</f>
        <v>7.9200000000000007E-2</v>
      </c>
    </row>
    <row r="3" spans="1:5" x14ac:dyDescent="0.2">
      <c r="A3" s="12">
        <v>1</v>
      </c>
      <c r="B3" s="12">
        <v>1.5</v>
      </c>
      <c r="C3" s="19">
        <f t="shared" ref="C3:C15" si="0">100-D3</f>
        <v>10.388127853881286</v>
      </c>
      <c r="D3" s="12">
        <v>89.611872146118714</v>
      </c>
      <c r="E3" s="11">
        <f t="shared" ref="E3:E15" si="1">ROUND(C3/(C3/2.3+D3),4)</f>
        <v>0.1104</v>
      </c>
    </row>
    <row r="4" spans="1:5" x14ac:dyDescent="0.2">
      <c r="A4" s="12">
        <v>2.5</v>
      </c>
      <c r="B4" s="12">
        <v>3</v>
      </c>
      <c r="C4" s="19">
        <f t="shared" si="0"/>
        <v>11.745619727449707</v>
      </c>
      <c r="D4" s="12">
        <v>88.254380272550293</v>
      </c>
      <c r="E4" s="11">
        <f t="shared" si="1"/>
        <v>0.1258</v>
      </c>
    </row>
    <row r="5" spans="1:5" x14ac:dyDescent="0.2">
      <c r="A5" s="12">
        <v>3.5</v>
      </c>
      <c r="B5" s="12">
        <v>4</v>
      </c>
      <c r="C5" s="19">
        <f t="shared" si="0"/>
        <v>17.941176470588232</v>
      </c>
      <c r="D5" s="12">
        <v>82.058823529411768</v>
      </c>
      <c r="E5" s="11">
        <f t="shared" si="1"/>
        <v>0.19969999999999999</v>
      </c>
    </row>
    <row r="6" spans="1:5" x14ac:dyDescent="0.2">
      <c r="A6" s="12">
        <v>5</v>
      </c>
      <c r="B6" s="12">
        <v>5.5</v>
      </c>
      <c r="C6" s="19">
        <f t="shared" si="0"/>
        <v>11.36363636363636</v>
      </c>
      <c r="D6" s="12">
        <v>88.63636363636364</v>
      </c>
      <c r="E6" s="11">
        <f t="shared" si="1"/>
        <v>0.12139999999999999</v>
      </c>
    </row>
    <row r="7" spans="1:5" x14ac:dyDescent="0.2">
      <c r="A7" s="12">
        <v>6</v>
      </c>
      <c r="B7" s="12">
        <v>6.5</v>
      </c>
      <c r="C7" s="19">
        <f t="shared" si="0"/>
        <v>14.324693042291955</v>
      </c>
      <c r="D7" s="12">
        <v>85.675306957708045</v>
      </c>
      <c r="E7" s="11">
        <f t="shared" si="1"/>
        <v>0.15590000000000001</v>
      </c>
    </row>
    <row r="8" spans="1:5" x14ac:dyDescent="0.2">
      <c r="A8" s="12">
        <v>6.5</v>
      </c>
      <c r="B8" s="12">
        <v>7</v>
      </c>
      <c r="C8" s="19">
        <f t="shared" si="0"/>
        <v>11.274509803921575</v>
      </c>
      <c r="D8" s="12">
        <v>88.725490196078425</v>
      </c>
      <c r="E8" s="11">
        <f t="shared" si="1"/>
        <v>0.12039999999999999</v>
      </c>
    </row>
    <row r="9" spans="1:5" x14ac:dyDescent="0.2">
      <c r="A9" s="12">
        <v>7.5</v>
      </c>
      <c r="B9" s="12">
        <v>8</v>
      </c>
      <c r="C9" s="19">
        <f t="shared" si="0"/>
        <v>11.68539325842697</v>
      </c>
      <c r="D9" s="12">
        <v>88.31460674157303</v>
      </c>
      <c r="E9" s="11">
        <f t="shared" si="1"/>
        <v>0.12509999999999999</v>
      </c>
    </row>
    <row r="10" spans="1:5" x14ac:dyDescent="0.2">
      <c r="A10" s="12">
        <v>9</v>
      </c>
      <c r="B10" s="12">
        <v>9.5</v>
      </c>
      <c r="C10" s="19">
        <f t="shared" si="0"/>
        <v>19.905771495877502</v>
      </c>
      <c r="D10" s="12">
        <v>80.094228504122498</v>
      </c>
      <c r="E10" s="11">
        <f t="shared" si="1"/>
        <v>0.2243</v>
      </c>
    </row>
    <row r="11" spans="1:5" x14ac:dyDescent="0.2">
      <c r="A11" s="12">
        <v>10</v>
      </c>
      <c r="B11" s="12">
        <v>10.5</v>
      </c>
      <c r="C11" s="19">
        <f t="shared" si="0"/>
        <v>14.267515923566876</v>
      </c>
      <c r="D11" s="12">
        <v>85.732484076433124</v>
      </c>
      <c r="E11" s="11">
        <f t="shared" si="1"/>
        <v>0.1552</v>
      </c>
    </row>
    <row r="12" spans="1:5" x14ac:dyDescent="0.2">
      <c r="A12" s="12">
        <v>11</v>
      </c>
      <c r="B12" s="12">
        <v>11.5</v>
      </c>
      <c r="C12" s="19">
        <f t="shared" si="0"/>
        <v>16.201497617426824</v>
      </c>
      <c r="D12" s="12">
        <v>83.798502382573176</v>
      </c>
      <c r="E12" s="11">
        <f t="shared" si="1"/>
        <v>0.17829999999999999</v>
      </c>
    </row>
    <row r="13" spans="1:5" x14ac:dyDescent="0.2">
      <c r="A13" s="12">
        <v>12.5</v>
      </c>
      <c r="B13" s="12">
        <v>13</v>
      </c>
      <c r="C13" s="19">
        <f t="shared" si="0"/>
        <v>14.91935483870968</v>
      </c>
      <c r="D13" s="12">
        <v>85.08064516129032</v>
      </c>
      <c r="E13" s="11">
        <f t="shared" si="1"/>
        <v>0.16289999999999999</v>
      </c>
    </row>
    <row r="14" spans="1:5" x14ac:dyDescent="0.2">
      <c r="A14" s="12">
        <v>15</v>
      </c>
      <c r="B14" s="12">
        <v>15.5</v>
      </c>
      <c r="C14" s="19">
        <f t="shared" si="0"/>
        <v>15.473441108545032</v>
      </c>
      <c r="D14" s="12">
        <v>84.526558891454968</v>
      </c>
      <c r="E14" s="11">
        <f t="shared" si="1"/>
        <v>0.1696</v>
      </c>
    </row>
    <row r="15" spans="1:5" x14ac:dyDescent="0.2">
      <c r="A15" s="12">
        <v>16.5</v>
      </c>
      <c r="B15" s="12">
        <v>17</v>
      </c>
      <c r="C15" s="19">
        <f t="shared" si="0"/>
        <v>16.715976331360949</v>
      </c>
      <c r="D15" s="12">
        <v>83.284023668639051</v>
      </c>
      <c r="E15" s="11">
        <f t="shared" si="1"/>
        <v>0.18459999999999999</v>
      </c>
    </row>
    <row r="16" spans="1:5" x14ac:dyDescent="0.2">
      <c r="A16" s="12">
        <v>17.5</v>
      </c>
      <c r="B16" s="12">
        <v>18</v>
      </c>
      <c r="C16" s="19">
        <f t="shared" ref="C16:C21" si="2">100-D16</f>
        <v>15.688367129135543</v>
      </c>
      <c r="D16" s="12">
        <v>84.311632870864457</v>
      </c>
      <c r="E16" s="11">
        <f t="shared" ref="E16:E21" si="3">ROUND(C16/(C16/2.3+D16),4)</f>
        <v>0.1721</v>
      </c>
    </row>
    <row r="17" spans="1:5" x14ac:dyDescent="0.2">
      <c r="A17" s="12">
        <v>22.5</v>
      </c>
      <c r="B17" s="12">
        <v>23</v>
      </c>
      <c r="C17" s="19">
        <f t="shared" si="2"/>
        <v>14.270152505446632</v>
      </c>
      <c r="D17" s="12">
        <v>85.729847494553368</v>
      </c>
      <c r="E17" s="11">
        <f t="shared" si="3"/>
        <v>0.1552</v>
      </c>
    </row>
    <row r="18" spans="1:5" x14ac:dyDescent="0.2">
      <c r="A18" s="12">
        <v>26.5</v>
      </c>
      <c r="B18" s="12">
        <v>27</v>
      </c>
      <c r="C18" s="19">
        <f t="shared" si="2"/>
        <v>16.338289962825286</v>
      </c>
      <c r="D18" s="12">
        <v>83.661710037174714</v>
      </c>
      <c r="E18" s="11">
        <f t="shared" si="3"/>
        <v>0.18</v>
      </c>
    </row>
    <row r="19" spans="1:5" x14ac:dyDescent="0.2">
      <c r="A19" s="12">
        <v>29</v>
      </c>
      <c r="B19" s="12">
        <v>29.5</v>
      </c>
      <c r="C19" s="19">
        <f t="shared" si="2"/>
        <v>16.472039473684205</v>
      </c>
      <c r="D19" s="12">
        <v>83.527960526315795</v>
      </c>
      <c r="E19" s="11">
        <f t="shared" si="3"/>
        <v>0.18160000000000001</v>
      </c>
    </row>
    <row r="20" spans="1:5" x14ac:dyDescent="0.2">
      <c r="A20" s="12">
        <v>30</v>
      </c>
      <c r="B20" s="12">
        <v>30.5</v>
      </c>
      <c r="C20" s="19">
        <f t="shared" si="2"/>
        <v>28.115501519756833</v>
      </c>
      <c r="D20" s="12">
        <v>71.884498480243167</v>
      </c>
      <c r="E20" s="11">
        <f t="shared" si="3"/>
        <v>0.33429999999999999</v>
      </c>
    </row>
    <row r="21" spans="1:5" x14ac:dyDescent="0.2">
      <c r="A21" s="12">
        <v>32.5</v>
      </c>
      <c r="B21" s="12">
        <v>33</v>
      </c>
      <c r="C21" s="19">
        <f t="shared" si="2"/>
        <v>21.875</v>
      </c>
      <c r="D21" s="12">
        <v>78.125</v>
      </c>
      <c r="E21" s="11">
        <f t="shared" si="3"/>
        <v>0.24959999999999999</v>
      </c>
    </row>
    <row r="24" spans="1:5" x14ac:dyDescent="0.2">
      <c r="A24" s="12"/>
      <c r="B24" s="12"/>
    </row>
    <row r="27" spans="1:5" x14ac:dyDescent="0.2">
      <c r="A27" s="12"/>
      <c r="B27" s="12"/>
    </row>
    <row r="29" spans="1:5" x14ac:dyDescent="0.2">
      <c r="A29" s="12"/>
      <c r="B29" s="12"/>
    </row>
    <row r="31" spans="1:5" x14ac:dyDescent="0.2">
      <c r="A31" s="12"/>
      <c r="B31" s="12"/>
    </row>
    <row r="32" spans="1:5" x14ac:dyDescent="0.2">
      <c r="A32" s="12"/>
      <c r="B32" s="1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16</vt:i4>
      </vt:variant>
    </vt:vector>
  </HeadingPairs>
  <TitlesOfParts>
    <vt:vector size="21" baseType="lpstr">
      <vt:lpstr>Raw Data</vt:lpstr>
      <vt:lpstr>Background</vt:lpstr>
      <vt:lpstr>Dating</vt:lpstr>
      <vt:lpstr>Gamma</vt:lpstr>
      <vt:lpstr>Rho</vt:lpstr>
      <vt:lpstr>Dating!Aext</vt:lpstr>
      <vt:lpstr>Dating!Ao</vt:lpstr>
      <vt:lpstr>Dating!Cext</vt:lpstr>
      <vt:lpstr>Dating!Ci</vt:lpstr>
      <vt:lpstr>Dating!Co</vt:lpstr>
      <vt:lpstr>Dating!Criteria</vt:lpstr>
      <vt:lpstr>Dating!Cs</vt:lpstr>
      <vt:lpstr>Dating!Database</vt:lpstr>
      <vt:lpstr>Dating!dCs</vt:lpstr>
      <vt:lpstr>Dating!delAo</vt:lpstr>
      <vt:lpstr>Dating!Lext</vt:lpstr>
      <vt:lpstr>Dating!Li</vt:lpstr>
      <vt:lpstr>Dating!Lmax</vt:lpstr>
      <vt:lpstr>Dating!Print_Area</vt:lpstr>
      <vt:lpstr>'Raw Data'!Print_Area</vt:lpstr>
      <vt:lpstr>'Raw Data'!Print_Titles</vt:lpstr>
    </vt:vector>
  </TitlesOfParts>
  <Company>$St. Croix Watershed Research Station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Mortenson</dc:creator>
  <cp:lastModifiedBy>Microsoft Office User</cp:lastModifiedBy>
  <dcterms:created xsi:type="dcterms:W3CDTF">2021-02-05T13:36:26Z</dcterms:created>
  <dcterms:modified xsi:type="dcterms:W3CDTF">2023-01-18T15:24:28Z</dcterms:modified>
</cp:coreProperties>
</file>