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enafrancis/Desktop/larvicide paper doc./Reviewe documents as at 18th February/"/>
    </mc:Choice>
  </mc:AlternateContent>
  <xr:revisionPtr revIDLastSave="0" documentId="13_ncr:1_{13668C6E-F4DB-2049-8207-287AC66A4A7A}" xr6:coauthVersionLast="45" xr6:coauthVersionMax="45" xr10:uidLastSave="{00000000-0000-0000-0000-000000000000}"/>
  <bookViews>
    <workbookView xWindow="0" yWindow="460" windowWidth="25600" windowHeight="14180" xr2:uid="{8CC376E0-D8C0-584F-899C-DEE9D87B610B}"/>
  </bookViews>
  <sheets>
    <sheet name="Temephos Percentage" sheetId="6" r:id="rId1"/>
    <sheet name="Temephos Raw Data" sheetId="1" r:id="rId2"/>
    <sheet name="Bti Percentage" sheetId="7" r:id="rId3"/>
    <sheet name="Bti Raw Data" sheetId="2" r:id="rId4"/>
    <sheet name="Methoprene" sheetId="3" r:id="rId5"/>
    <sheet name="Diflubenzuron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6" i="6" l="1"/>
  <c r="AA26" i="6"/>
  <c r="AB26" i="6"/>
  <c r="AC26" i="6"/>
  <c r="Z27" i="6"/>
  <c r="AA27" i="6"/>
  <c r="AB27" i="6"/>
  <c r="AC27" i="6"/>
  <c r="AC28" i="6" s="1"/>
  <c r="Z28" i="6"/>
  <c r="AA28" i="6"/>
  <c r="AB28" i="6"/>
  <c r="Y28" i="6"/>
  <c r="Z17" i="6"/>
  <c r="AA17" i="6"/>
  <c r="AB17" i="6"/>
  <c r="AC17" i="6"/>
  <c r="Z18" i="6"/>
  <c r="AA18" i="6"/>
  <c r="AB18" i="6"/>
  <c r="AC18" i="6"/>
  <c r="AC19" i="6" s="1"/>
  <c r="Z19" i="6"/>
  <c r="AA19" i="6"/>
  <c r="AB19" i="6"/>
  <c r="Y19" i="6"/>
  <c r="Z8" i="6"/>
  <c r="AA8" i="6"/>
  <c r="AB8" i="6"/>
  <c r="AC8" i="6"/>
  <c r="Z9" i="6"/>
  <c r="AA9" i="6"/>
  <c r="AB9" i="6"/>
  <c r="AC9" i="6"/>
  <c r="AC10" i="6" s="1"/>
  <c r="Z10" i="6"/>
  <c r="AA10" i="6"/>
  <c r="AB10" i="6"/>
  <c r="S35" i="6"/>
  <c r="T35" i="6"/>
  <c r="U35" i="6"/>
  <c r="V35" i="6"/>
  <c r="S36" i="6"/>
  <c r="T36" i="6"/>
  <c r="U36" i="6"/>
  <c r="V36" i="6"/>
  <c r="V37" i="6" s="1"/>
  <c r="S37" i="6"/>
  <c r="T37" i="6"/>
  <c r="U37" i="6"/>
  <c r="R37" i="6"/>
  <c r="R36" i="6"/>
  <c r="R35" i="6"/>
  <c r="S26" i="6"/>
  <c r="T26" i="6"/>
  <c r="U26" i="6"/>
  <c r="V26" i="6"/>
  <c r="S27" i="6"/>
  <c r="T27" i="6"/>
  <c r="U27" i="6"/>
  <c r="V27" i="6"/>
  <c r="V28" i="6" s="1"/>
  <c r="S28" i="6"/>
  <c r="T28" i="6"/>
  <c r="U28" i="6"/>
  <c r="R28" i="6"/>
  <c r="S17" i="6"/>
  <c r="T17" i="6"/>
  <c r="U17" i="6"/>
  <c r="V17" i="6"/>
  <c r="S18" i="6"/>
  <c r="T18" i="6"/>
  <c r="U18" i="6"/>
  <c r="V18" i="6"/>
  <c r="V19" i="6" s="1"/>
  <c r="S19" i="6"/>
  <c r="T19" i="6"/>
  <c r="U19" i="6"/>
  <c r="R19" i="6"/>
  <c r="S8" i="6"/>
  <c r="T8" i="6"/>
  <c r="U8" i="6"/>
  <c r="V8" i="6"/>
  <c r="S9" i="6"/>
  <c r="T9" i="6"/>
  <c r="U9" i="6"/>
  <c r="V9" i="6"/>
  <c r="V10" i="6" s="1"/>
  <c r="S10" i="6"/>
  <c r="T10" i="6"/>
  <c r="U10" i="6"/>
  <c r="R10" i="6"/>
  <c r="R9" i="6"/>
  <c r="R8" i="6"/>
  <c r="K26" i="6"/>
  <c r="L26" i="6"/>
  <c r="M26" i="6"/>
  <c r="N26" i="6"/>
  <c r="K27" i="6"/>
  <c r="L27" i="6"/>
  <c r="M27" i="6"/>
  <c r="N27" i="6"/>
  <c r="N28" i="6" s="1"/>
  <c r="K28" i="6"/>
  <c r="L28" i="6"/>
  <c r="M28" i="6"/>
  <c r="J28" i="6"/>
  <c r="K17" i="6"/>
  <c r="L17" i="6"/>
  <c r="M17" i="6"/>
  <c r="N17" i="6"/>
  <c r="K18" i="6"/>
  <c r="L18" i="6"/>
  <c r="M18" i="6"/>
  <c r="N18" i="6"/>
  <c r="N19" i="6" s="1"/>
  <c r="K19" i="6"/>
  <c r="L19" i="6"/>
  <c r="M19" i="6"/>
  <c r="J19" i="6"/>
  <c r="K8" i="6"/>
  <c r="L8" i="6"/>
  <c r="M8" i="6"/>
  <c r="N8" i="6"/>
  <c r="K9" i="6"/>
  <c r="L9" i="6"/>
  <c r="M9" i="6"/>
  <c r="N9" i="6"/>
  <c r="N10" i="6" s="1"/>
  <c r="K10" i="6"/>
  <c r="L10" i="6"/>
  <c r="M10" i="6"/>
  <c r="J10" i="6"/>
  <c r="D35" i="6"/>
  <c r="E35" i="6"/>
  <c r="F35" i="6"/>
  <c r="G35" i="6"/>
  <c r="D36" i="6"/>
  <c r="E36" i="6"/>
  <c r="F36" i="6"/>
  <c r="F37" i="6" s="1"/>
  <c r="G36" i="6"/>
  <c r="G37" i="6" s="1"/>
  <c r="D37" i="6"/>
  <c r="E37" i="6"/>
  <c r="C36" i="6"/>
  <c r="C37" i="6" s="1"/>
  <c r="C35" i="6"/>
  <c r="D26" i="6"/>
  <c r="E26" i="6"/>
  <c r="F26" i="6"/>
  <c r="G26" i="6"/>
  <c r="D27" i="6"/>
  <c r="E27" i="6"/>
  <c r="F27" i="6"/>
  <c r="G27" i="6"/>
  <c r="G28" i="6" s="1"/>
  <c r="D28" i="6"/>
  <c r="E28" i="6"/>
  <c r="F28" i="6"/>
  <c r="D17" i="6"/>
  <c r="E17" i="6"/>
  <c r="F17" i="6"/>
  <c r="G17" i="6"/>
  <c r="D18" i="6"/>
  <c r="E18" i="6"/>
  <c r="F18" i="6"/>
  <c r="G18" i="6"/>
  <c r="G19" i="6" s="1"/>
  <c r="D19" i="6"/>
  <c r="E19" i="6"/>
  <c r="F19" i="6"/>
  <c r="D9" i="6"/>
  <c r="E9" i="6"/>
  <c r="F9" i="6"/>
  <c r="G9" i="6"/>
  <c r="G10" i="6" s="1"/>
  <c r="D10" i="6"/>
  <c r="E10" i="6"/>
  <c r="F10" i="6"/>
  <c r="C10" i="6"/>
  <c r="C9" i="6"/>
  <c r="D8" i="6"/>
  <c r="E8" i="6"/>
  <c r="F8" i="6"/>
  <c r="G8" i="6"/>
  <c r="C8" i="6"/>
  <c r="Y10" i="6"/>
  <c r="C28" i="6"/>
  <c r="C19" i="6"/>
  <c r="I21" i="7" l="1"/>
  <c r="I20" i="7"/>
  <c r="I19" i="7"/>
  <c r="I18" i="7"/>
  <c r="I17" i="7"/>
  <c r="I16" i="7"/>
  <c r="I15" i="7"/>
  <c r="I10" i="7"/>
  <c r="I9" i="7"/>
  <c r="I8" i="7"/>
  <c r="I7" i="7"/>
  <c r="I6" i="7"/>
  <c r="I5" i="7"/>
  <c r="I4" i="7"/>
  <c r="P21" i="7"/>
  <c r="P20" i="7"/>
  <c r="P19" i="7"/>
  <c r="P18" i="7"/>
  <c r="P17" i="7"/>
  <c r="P16" i="7"/>
  <c r="P15" i="7"/>
  <c r="P10" i="7"/>
  <c r="P9" i="7"/>
  <c r="P8" i="7"/>
  <c r="P7" i="7"/>
  <c r="P6" i="7"/>
  <c r="P5" i="7"/>
  <c r="P4" i="7"/>
  <c r="W21" i="7"/>
  <c r="W20" i="7"/>
  <c r="W19" i="7"/>
  <c r="W18" i="7"/>
  <c r="W17" i="7"/>
  <c r="W16" i="7"/>
  <c r="W15" i="7"/>
  <c r="W10" i="7"/>
  <c r="W9" i="7"/>
  <c r="W8" i="7"/>
  <c r="W7" i="7"/>
  <c r="W6" i="7"/>
  <c r="W5" i="7"/>
  <c r="W4" i="7"/>
  <c r="AD21" i="7"/>
  <c r="AD20" i="7"/>
  <c r="AD19" i="7"/>
  <c r="AD18" i="7"/>
  <c r="AD17" i="7"/>
  <c r="AD16" i="7"/>
  <c r="AD15" i="7"/>
  <c r="AD10" i="7"/>
  <c r="AD9" i="7"/>
  <c r="AD8" i="7"/>
  <c r="AD7" i="7"/>
  <c r="AD6" i="7"/>
  <c r="AD5" i="7"/>
  <c r="AD4" i="7"/>
  <c r="AK21" i="7"/>
  <c r="AK20" i="7"/>
  <c r="AK19" i="7"/>
  <c r="AK18" i="7"/>
  <c r="AK17" i="7"/>
  <c r="AK16" i="7"/>
  <c r="AK15" i="7"/>
  <c r="AK5" i="7"/>
  <c r="AK6" i="7"/>
  <c r="AK7" i="7"/>
  <c r="AK8" i="7"/>
  <c r="AK9" i="7"/>
  <c r="AK10" i="7"/>
  <c r="AK4" i="7"/>
  <c r="X10" i="7"/>
  <c r="X16" i="7"/>
  <c r="D33" i="3" l="1"/>
  <c r="D34" i="3"/>
  <c r="D35" i="3"/>
  <c r="D36" i="3"/>
  <c r="D37" i="3"/>
  <c r="D38" i="3"/>
  <c r="D33" i="4"/>
  <c r="D35" i="4"/>
  <c r="D36" i="4"/>
  <c r="D37" i="4"/>
  <c r="D38" i="4"/>
  <c r="AJ21" i="7" l="1"/>
  <c r="AI21" i="7"/>
  <c r="AC21" i="7"/>
  <c r="AB21" i="7"/>
  <c r="V21" i="7"/>
  <c r="U21" i="7"/>
  <c r="L21" i="7"/>
  <c r="K21" i="7"/>
  <c r="J21" i="7"/>
  <c r="H21" i="7"/>
  <c r="G21" i="7"/>
  <c r="AJ20" i="7"/>
  <c r="AI20" i="7"/>
  <c r="AC20" i="7"/>
  <c r="AB20" i="7"/>
  <c r="V20" i="7"/>
  <c r="U20" i="7"/>
  <c r="O20" i="7"/>
  <c r="N20" i="7"/>
  <c r="H20" i="7"/>
  <c r="G20" i="7"/>
  <c r="AJ19" i="7"/>
  <c r="AI19" i="7"/>
  <c r="AC19" i="7"/>
  <c r="AB19" i="7"/>
  <c r="V19" i="7"/>
  <c r="U19" i="7"/>
  <c r="O19" i="7"/>
  <c r="N19" i="7"/>
  <c r="H19" i="7"/>
  <c r="G19" i="7"/>
  <c r="AJ18" i="7"/>
  <c r="AI18" i="7"/>
  <c r="AC18" i="7"/>
  <c r="AB18" i="7"/>
  <c r="V18" i="7"/>
  <c r="U18" i="7"/>
  <c r="O18" i="7"/>
  <c r="N18" i="7"/>
  <c r="H18" i="7"/>
  <c r="G18" i="7"/>
  <c r="AJ17" i="7"/>
  <c r="AI17" i="7"/>
  <c r="AC17" i="7"/>
  <c r="AB17" i="7"/>
  <c r="V17" i="7"/>
  <c r="U17" i="7"/>
  <c r="O17" i="7"/>
  <c r="N17" i="7"/>
  <c r="H17" i="7"/>
  <c r="G17" i="7"/>
  <c r="AH16" i="7"/>
  <c r="AG16" i="7"/>
  <c r="AE16" i="7"/>
  <c r="Y16" i="7"/>
  <c r="AB16" i="7" s="1"/>
  <c r="T16" i="7"/>
  <c r="S16" i="7"/>
  <c r="V16" i="7" s="1"/>
  <c r="M16" i="7"/>
  <c r="L16" i="7"/>
  <c r="H16" i="7"/>
  <c r="G16" i="7"/>
  <c r="E15" i="7"/>
  <c r="L15" i="7" s="1"/>
  <c r="S15" i="7" s="1"/>
  <c r="Z15" i="7" s="1"/>
  <c r="AG15" i="7" s="1"/>
  <c r="D15" i="7"/>
  <c r="G15" i="7" s="1"/>
  <c r="AJ10" i="7"/>
  <c r="AI10" i="7"/>
  <c r="Z10" i="7"/>
  <c r="Y10" i="7"/>
  <c r="S10" i="7"/>
  <c r="R10" i="7"/>
  <c r="Q10" i="7"/>
  <c r="L10" i="7"/>
  <c r="K10" i="7"/>
  <c r="J10" i="7"/>
  <c r="H10" i="7"/>
  <c r="G10" i="7"/>
  <c r="AJ9" i="7"/>
  <c r="AI9" i="7"/>
  <c r="AA9" i="7"/>
  <c r="Z9" i="7"/>
  <c r="AC9" i="7" s="1"/>
  <c r="T9" i="7"/>
  <c r="S9" i="7"/>
  <c r="R9" i="7"/>
  <c r="Q9" i="7"/>
  <c r="U9" i="7" s="1"/>
  <c r="M9" i="7"/>
  <c r="L9" i="7"/>
  <c r="K9" i="7"/>
  <c r="J9" i="7"/>
  <c r="N9" i="7" s="1"/>
  <c r="H9" i="7"/>
  <c r="G9" i="7"/>
  <c r="AJ8" i="7"/>
  <c r="AI8" i="7"/>
  <c r="AC8" i="7"/>
  <c r="AB8" i="7"/>
  <c r="T8" i="7"/>
  <c r="S8" i="7"/>
  <c r="R8" i="7"/>
  <c r="Q8" i="7"/>
  <c r="M8" i="7"/>
  <c r="L8" i="7"/>
  <c r="K8" i="7"/>
  <c r="J8" i="7"/>
  <c r="H8" i="7"/>
  <c r="G8" i="7"/>
  <c r="AJ7" i="7"/>
  <c r="AI7" i="7"/>
  <c r="AA7" i="7"/>
  <c r="AC7" i="7" s="1"/>
  <c r="T7" i="7"/>
  <c r="S7" i="7"/>
  <c r="R7" i="7"/>
  <c r="Q7" i="7"/>
  <c r="J7" i="7"/>
  <c r="O7" i="7" s="1"/>
  <c r="H7" i="7"/>
  <c r="G7" i="7"/>
  <c r="AJ6" i="7"/>
  <c r="AI6" i="7"/>
  <c r="AA6" i="7"/>
  <c r="AC6" i="7" s="1"/>
  <c r="T6" i="7"/>
  <c r="S6" i="7"/>
  <c r="R6" i="7"/>
  <c r="Q6" i="7"/>
  <c r="M6" i="7"/>
  <c r="L6" i="7"/>
  <c r="K6" i="7"/>
  <c r="J6" i="7"/>
  <c r="H6" i="7"/>
  <c r="G6" i="7"/>
  <c r="AH5" i="7"/>
  <c r="AJ5" i="7" s="1"/>
  <c r="AC5" i="7"/>
  <c r="AB5" i="7"/>
  <c r="T5" i="7"/>
  <c r="S5" i="7"/>
  <c r="R5" i="7"/>
  <c r="Q5" i="7"/>
  <c r="M5" i="7"/>
  <c r="L5" i="7"/>
  <c r="K5" i="7"/>
  <c r="J5" i="7"/>
  <c r="D5" i="7"/>
  <c r="H5" i="7" s="1"/>
  <c r="AG4" i="7"/>
  <c r="AC4" i="7"/>
  <c r="AB4" i="7"/>
  <c r="Y4" i="7"/>
  <c r="AF4" i="7" s="1"/>
  <c r="T4" i="7"/>
  <c r="S4" i="7"/>
  <c r="R4" i="7"/>
  <c r="Q4" i="7"/>
  <c r="M4" i="7"/>
  <c r="L4" i="7"/>
  <c r="K4" i="7"/>
  <c r="J4" i="7"/>
  <c r="E4" i="7"/>
  <c r="D4" i="7"/>
  <c r="V32" i="6"/>
  <c r="U32" i="6"/>
  <c r="V29" i="6"/>
  <c r="U29" i="6"/>
  <c r="T29" i="6"/>
  <c r="S29" i="6"/>
  <c r="G29" i="6"/>
  <c r="F29" i="6"/>
  <c r="E29" i="6"/>
  <c r="D29" i="6"/>
  <c r="Y27" i="6"/>
  <c r="R27" i="6"/>
  <c r="J27" i="6"/>
  <c r="C27" i="6"/>
  <c r="Y26" i="6"/>
  <c r="R26" i="6"/>
  <c r="J26" i="6"/>
  <c r="I26" i="6"/>
  <c r="C26" i="6"/>
  <c r="B26" i="6"/>
  <c r="U25" i="6"/>
  <c r="T25" i="6"/>
  <c r="S25" i="6"/>
  <c r="G25" i="6"/>
  <c r="F25" i="6"/>
  <c r="U24" i="6"/>
  <c r="T24" i="6"/>
  <c r="S24" i="6"/>
  <c r="G24" i="6"/>
  <c r="F24" i="6"/>
  <c r="E24" i="6"/>
  <c r="AA23" i="6"/>
  <c r="Z23" i="6"/>
  <c r="U23" i="6"/>
  <c r="T23" i="6"/>
  <c r="S23" i="6"/>
  <c r="G23" i="6"/>
  <c r="F23" i="6"/>
  <c r="AB22" i="6"/>
  <c r="U22" i="6"/>
  <c r="S22" i="6"/>
  <c r="G22" i="6"/>
  <c r="F22" i="6"/>
  <c r="AC20" i="6"/>
  <c r="AB20" i="6"/>
  <c r="AA20" i="6"/>
  <c r="Z20" i="6"/>
  <c r="V20" i="6"/>
  <c r="U20" i="6"/>
  <c r="T20" i="6"/>
  <c r="S20" i="6"/>
  <c r="N20" i="6"/>
  <c r="M20" i="6"/>
  <c r="L20" i="6"/>
  <c r="K20" i="6"/>
  <c r="G20" i="6"/>
  <c r="F20" i="6"/>
  <c r="E20" i="6"/>
  <c r="D20" i="6"/>
  <c r="Y18" i="6"/>
  <c r="R18" i="6"/>
  <c r="J18" i="6"/>
  <c r="C18" i="6"/>
  <c r="Y17" i="6"/>
  <c r="R17" i="6"/>
  <c r="Q17" i="6"/>
  <c r="Q26" i="6" s="1"/>
  <c r="J17" i="6"/>
  <c r="I17" i="6"/>
  <c r="C17" i="6"/>
  <c r="B17" i="6"/>
  <c r="AA16" i="6"/>
  <c r="V16" i="6"/>
  <c r="U16" i="6"/>
  <c r="N16" i="6"/>
  <c r="M16" i="6"/>
  <c r="K16" i="6"/>
  <c r="G16" i="6"/>
  <c r="AA15" i="6"/>
  <c r="V15" i="6"/>
  <c r="U15" i="6"/>
  <c r="N15" i="6"/>
  <c r="M15" i="6"/>
  <c r="L15" i="6"/>
  <c r="K15" i="6"/>
  <c r="F15" i="6"/>
  <c r="AA14" i="6"/>
  <c r="V14" i="6"/>
  <c r="U14" i="6"/>
  <c r="T14" i="6"/>
  <c r="N14" i="6"/>
  <c r="M14" i="6"/>
  <c r="L14" i="6"/>
  <c r="K14" i="6"/>
  <c r="G14" i="6"/>
  <c r="AA13" i="6"/>
  <c r="Z13" i="6"/>
  <c r="V13" i="6"/>
  <c r="U13" i="6"/>
  <c r="T13" i="6"/>
  <c r="S13" i="6"/>
  <c r="N13" i="6"/>
  <c r="M13" i="6"/>
  <c r="L13" i="6"/>
  <c r="K13" i="6"/>
  <c r="G13" i="6"/>
  <c r="AC11" i="6"/>
  <c r="AB11" i="6"/>
  <c r="AA11" i="6"/>
  <c r="Z11" i="6"/>
  <c r="V11" i="6"/>
  <c r="U11" i="6"/>
  <c r="T11" i="6"/>
  <c r="S11" i="6"/>
  <c r="N11" i="6"/>
  <c r="M11" i="6"/>
  <c r="L11" i="6"/>
  <c r="K11" i="6"/>
  <c r="G11" i="6"/>
  <c r="F11" i="6"/>
  <c r="E11" i="6"/>
  <c r="D11" i="6"/>
  <c r="Y9" i="6"/>
  <c r="J9" i="6"/>
  <c r="Y8" i="6"/>
  <c r="X8" i="6"/>
  <c r="X17" i="6" s="1"/>
  <c r="X26" i="6" s="1"/>
  <c r="J8" i="6"/>
  <c r="I8" i="6"/>
  <c r="AA7" i="6"/>
  <c r="Z7" i="6"/>
  <c r="N7" i="6"/>
  <c r="M7" i="6"/>
  <c r="K7" i="6"/>
  <c r="AA6" i="6"/>
  <c r="N6" i="6"/>
  <c r="M6" i="6"/>
  <c r="L6" i="6"/>
  <c r="AA5" i="6"/>
  <c r="N5" i="6"/>
  <c r="M5" i="6"/>
  <c r="AA4" i="6"/>
  <c r="Z4" i="6"/>
  <c r="N4" i="6"/>
  <c r="M4" i="6"/>
  <c r="L4" i="6"/>
  <c r="K4" i="6"/>
  <c r="AC2" i="6"/>
  <c r="AB2" i="6"/>
  <c r="AA2" i="6"/>
  <c r="Z2" i="6"/>
  <c r="V2" i="6"/>
  <c r="U2" i="6"/>
  <c r="T2" i="6"/>
  <c r="S2" i="6"/>
  <c r="G2" i="6"/>
  <c r="F2" i="6"/>
  <c r="E2" i="6"/>
  <c r="D2" i="6"/>
  <c r="AI4" i="7" l="1"/>
  <c r="AJ4" i="7"/>
  <c r="O4" i="7"/>
  <c r="AC10" i="7"/>
  <c r="H4" i="7"/>
  <c r="AB7" i="7"/>
  <c r="U10" i="7"/>
  <c r="V10" i="7"/>
  <c r="N21" i="7"/>
  <c r="N16" i="7"/>
  <c r="G4" i="7"/>
  <c r="AI5" i="7"/>
  <c r="N6" i="7"/>
  <c r="V6" i="7"/>
  <c r="N7" i="7"/>
  <c r="V9" i="7"/>
  <c r="N5" i="7"/>
  <c r="U5" i="7"/>
  <c r="O6" i="7"/>
  <c r="AB6" i="7"/>
  <c r="N8" i="7"/>
  <c r="V8" i="7"/>
  <c r="N10" i="7"/>
  <c r="U16" i="7"/>
  <c r="N4" i="7"/>
  <c r="V4" i="7"/>
  <c r="V5" i="7"/>
  <c r="V7" i="7"/>
  <c r="O8" i="7"/>
  <c r="AB10" i="7"/>
  <c r="O16" i="7"/>
  <c r="AC16" i="7"/>
  <c r="H15" i="7"/>
  <c r="AJ16" i="7"/>
  <c r="O21" i="7"/>
  <c r="U8" i="7"/>
  <c r="O10" i="7"/>
  <c r="O5" i="7"/>
  <c r="U6" i="7"/>
  <c r="U7" i="7"/>
  <c r="O9" i="7"/>
  <c r="G5" i="7"/>
  <c r="AB9" i="7"/>
  <c r="AI16" i="7"/>
  <c r="U4" i="7"/>
  <c r="K15" i="7"/>
  <c r="E40" i="4"/>
  <c r="F40" i="4" s="1"/>
  <c r="J40" i="4" s="1"/>
  <c r="E41" i="4"/>
  <c r="F41" i="4" s="1"/>
  <c r="J41" i="4" s="1"/>
  <c r="E42" i="4"/>
  <c r="F42" i="4" s="1"/>
  <c r="E43" i="4"/>
  <c r="F43" i="4" s="1"/>
  <c r="E44" i="4"/>
  <c r="F44" i="4" s="1"/>
  <c r="J44" i="4" s="1"/>
  <c r="E39" i="4"/>
  <c r="F39" i="4" s="1"/>
  <c r="F40" i="3"/>
  <c r="F41" i="3"/>
  <c r="J41" i="3" s="1"/>
  <c r="F42" i="3"/>
  <c r="J42" i="3" s="1"/>
  <c r="F43" i="3"/>
  <c r="J43" i="3" s="1"/>
  <c r="F44" i="3"/>
  <c r="F39" i="3"/>
  <c r="J44" i="3"/>
  <c r="J40" i="3"/>
  <c r="E33" i="3"/>
  <c r="G33" i="3" s="1"/>
  <c r="E34" i="3"/>
  <c r="E35" i="3"/>
  <c r="E36" i="3"/>
  <c r="E37" i="3"/>
  <c r="E38" i="3"/>
  <c r="C39" i="3"/>
  <c r="N15" i="7" l="1"/>
  <c r="R15" i="7"/>
  <c r="O15" i="7"/>
  <c r="J42" i="4"/>
  <c r="J43" i="4"/>
  <c r="U15" i="7" l="1"/>
  <c r="Y15" i="7"/>
  <c r="V15" i="7"/>
  <c r="AB15" i="7" l="1"/>
  <c r="AF15" i="7"/>
  <c r="AC15" i="7"/>
  <c r="C34" i="4"/>
  <c r="D34" i="4" s="1"/>
  <c r="E32" i="4"/>
  <c r="F32" i="4" s="1"/>
  <c r="J32" i="4" s="1"/>
  <c r="E31" i="4"/>
  <c r="F31" i="4" s="1"/>
  <c r="J31" i="4" s="1"/>
  <c r="E30" i="4"/>
  <c r="F30" i="4" s="1"/>
  <c r="J30" i="4" s="1"/>
  <c r="E29" i="4"/>
  <c r="F29" i="4" s="1"/>
  <c r="J29" i="4" s="1"/>
  <c r="E28" i="4"/>
  <c r="F28" i="4" s="1"/>
  <c r="J28" i="4" s="1"/>
  <c r="E27" i="4"/>
  <c r="F27" i="4" s="1"/>
  <c r="E26" i="4"/>
  <c r="F26" i="4" s="1"/>
  <c r="J26" i="4" s="1"/>
  <c r="E25" i="4"/>
  <c r="F25" i="4" s="1"/>
  <c r="J25" i="4" s="1"/>
  <c r="E24" i="4"/>
  <c r="F24" i="4" s="1"/>
  <c r="J24" i="4" s="1"/>
  <c r="E23" i="4"/>
  <c r="F23" i="4" s="1"/>
  <c r="J23" i="4" s="1"/>
  <c r="E22" i="4"/>
  <c r="F22" i="4" s="1"/>
  <c r="J22" i="4" s="1"/>
  <c r="E21" i="4"/>
  <c r="F21" i="4" s="1"/>
  <c r="E20" i="4"/>
  <c r="G20" i="4" s="1"/>
  <c r="H20" i="4" s="1"/>
  <c r="G19" i="4"/>
  <c r="F19" i="4"/>
  <c r="E19" i="4"/>
  <c r="I19" i="4" s="1"/>
  <c r="J19" i="4" s="1"/>
  <c r="E18" i="4"/>
  <c r="F18" i="4" s="1"/>
  <c r="E17" i="4"/>
  <c r="G17" i="4" s="1"/>
  <c r="E16" i="4"/>
  <c r="I16" i="4" s="1"/>
  <c r="J16" i="4" s="1"/>
  <c r="E15" i="4"/>
  <c r="G15" i="4" s="1"/>
  <c r="E14" i="4"/>
  <c r="F14" i="4" s="1"/>
  <c r="J14" i="4" s="1"/>
  <c r="E13" i="4"/>
  <c r="F13" i="4" s="1"/>
  <c r="J13" i="4" s="1"/>
  <c r="E12" i="4"/>
  <c r="F12" i="4" s="1"/>
  <c r="J12" i="4" s="1"/>
  <c r="E11" i="4"/>
  <c r="F11" i="4" s="1"/>
  <c r="J11" i="4" s="1"/>
  <c r="E10" i="4"/>
  <c r="F10" i="4" s="1"/>
  <c r="J10" i="4" s="1"/>
  <c r="E9" i="4"/>
  <c r="F9" i="4" s="1"/>
  <c r="E8" i="4"/>
  <c r="F8" i="4" s="1"/>
  <c r="D7" i="4"/>
  <c r="E7" i="4" s="1"/>
  <c r="F7" i="4" s="1"/>
  <c r="C6" i="4"/>
  <c r="E6" i="4" s="1"/>
  <c r="F6" i="4" s="1"/>
  <c r="E5" i="4"/>
  <c r="F5" i="4" s="1"/>
  <c r="E4" i="4"/>
  <c r="F4" i="4" s="1"/>
  <c r="E3" i="4"/>
  <c r="F3" i="4" s="1"/>
  <c r="J32" i="3"/>
  <c r="E32" i="3"/>
  <c r="G32" i="3" s="1"/>
  <c r="H32" i="3" s="1"/>
  <c r="E31" i="3"/>
  <c r="G31" i="3" s="1"/>
  <c r="H31" i="3" s="1"/>
  <c r="E30" i="3"/>
  <c r="G30" i="3" s="1"/>
  <c r="H30" i="3" s="1"/>
  <c r="F29" i="3"/>
  <c r="E29" i="3"/>
  <c r="G29" i="3" s="1"/>
  <c r="H29" i="3" s="1"/>
  <c r="E28" i="3"/>
  <c r="G28" i="3" s="1"/>
  <c r="H28" i="3" s="1"/>
  <c r="E27" i="3"/>
  <c r="F27" i="3" s="1"/>
  <c r="E26" i="3"/>
  <c r="F26" i="3" s="1"/>
  <c r="J26" i="3" s="1"/>
  <c r="E25" i="3"/>
  <c r="F25" i="3" s="1"/>
  <c r="J25" i="3" s="1"/>
  <c r="E24" i="3"/>
  <c r="F24" i="3" s="1"/>
  <c r="J24" i="3" s="1"/>
  <c r="E23" i="3"/>
  <c r="F23" i="3" s="1"/>
  <c r="J23" i="3" s="1"/>
  <c r="E22" i="3"/>
  <c r="F22" i="3" s="1"/>
  <c r="J22" i="3" s="1"/>
  <c r="E21" i="3"/>
  <c r="F21" i="3" s="1"/>
  <c r="E20" i="3"/>
  <c r="F20" i="3" s="1"/>
  <c r="J20" i="3" s="1"/>
  <c r="E19" i="3"/>
  <c r="F19" i="3" s="1"/>
  <c r="J19" i="3" s="1"/>
  <c r="E18" i="3"/>
  <c r="F18" i="3" s="1"/>
  <c r="J18" i="3" s="1"/>
  <c r="E17" i="3"/>
  <c r="F17" i="3" s="1"/>
  <c r="J17" i="3" s="1"/>
  <c r="E16" i="3"/>
  <c r="F16" i="3" s="1"/>
  <c r="J16" i="3" s="1"/>
  <c r="E15" i="3"/>
  <c r="F15" i="3" s="1"/>
  <c r="E14" i="3"/>
  <c r="F14" i="3" s="1"/>
  <c r="E13" i="3"/>
  <c r="F13" i="3" s="1"/>
  <c r="E12" i="3"/>
  <c r="I12" i="3" s="1"/>
  <c r="J12" i="3" s="1"/>
  <c r="G11" i="3"/>
  <c r="E11" i="3"/>
  <c r="F11" i="3" s="1"/>
  <c r="E10" i="3"/>
  <c r="F10" i="3" s="1"/>
  <c r="E9" i="3"/>
  <c r="G9" i="3" s="1"/>
  <c r="E8" i="3"/>
  <c r="F8" i="3" s="1"/>
  <c r="J8" i="3" s="1"/>
  <c r="E7" i="3"/>
  <c r="F7" i="3" s="1"/>
  <c r="J7" i="3" s="1"/>
  <c r="E6" i="3"/>
  <c r="F6" i="3" s="1"/>
  <c r="J6" i="3" s="1"/>
  <c r="E5" i="3"/>
  <c r="F5" i="3" s="1"/>
  <c r="J5" i="3" s="1"/>
  <c r="E4" i="3"/>
  <c r="F4" i="3" s="1"/>
  <c r="J4" i="3" s="1"/>
  <c r="E3" i="3"/>
  <c r="F3" i="3" s="1"/>
  <c r="G14" i="3" l="1"/>
  <c r="H14" i="3" s="1"/>
  <c r="G12" i="3"/>
  <c r="F31" i="3"/>
  <c r="AI15" i="7"/>
  <c r="AJ15" i="7"/>
  <c r="F12" i="3"/>
  <c r="I18" i="4"/>
  <c r="J18" i="4" s="1"/>
  <c r="I17" i="4"/>
  <c r="J17" i="4" s="1"/>
  <c r="I11" i="3"/>
  <c r="J11" i="3" s="1"/>
  <c r="G27" i="3"/>
  <c r="G18" i="4"/>
  <c r="J4" i="4"/>
  <c r="J7" i="4"/>
  <c r="J5" i="4"/>
  <c r="J8" i="4"/>
  <c r="J6" i="4"/>
  <c r="I20" i="4"/>
  <c r="J20" i="4" s="1"/>
  <c r="F16" i="4"/>
  <c r="F20" i="4"/>
  <c r="E33" i="4"/>
  <c r="F33" i="4" s="1"/>
  <c r="E34" i="4"/>
  <c r="F34" i="4" s="1"/>
  <c r="J34" i="4" s="1"/>
  <c r="E35" i="4"/>
  <c r="F35" i="4" s="1"/>
  <c r="J35" i="4" s="1"/>
  <c r="E36" i="4"/>
  <c r="F36" i="4" s="1"/>
  <c r="J36" i="4" s="1"/>
  <c r="E37" i="4"/>
  <c r="F37" i="4" s="1"/>
  <c r="J37" i="4" s="1"/>
  <c r="E38" i="4"/>
  <c r="F38" i="4" s="1"/>
  <c r="J38" i="4" s="1"/>
  <c r="F15" i="4"/>
  <c r="G16" i="4"/>
  <c r="F17" i="4"/>
  <c r="I29" i="3"/>
  <c r="J29" i="3" s="1"/>
  <c r="I31" i="3"/>
  <c r="J31" i="3" s="1"/>
  <c r="F36" i="3"/>
  <c r="J36" i="3" s="1"/>
  <c r="F33" i="3"/>
  <c r="F34" i="3"/>
  <c r="J34" i="3" s="1"/>
  <c r="F38" i="3"/>
  <c r="J38" i="3" s="1"/>
  <c r="I28" i="3"/>
  <c r="J28" i="3" s="1"/>
  <c r="F9" i="3"/>
  <c r="G10" i="3"/>
  <c r="H10" i="3" s="1"/>
  <c r="I10" i="3" s="1"/>
  <c r="J10" i="3" s="1"/>
  <c r="G13" i="3"/>
  <c r="H13" i="3" s="1"/>
  <c r="I13" i="3" s="1"/>
  <c r="J13" i="3" s="1"/>
  <c r="I14" i="3"/>
  <c r="J14" i="3" s="1"/>
  <c r="F28" i="3"/>
  <c r="F30" i="3"/>
  <c r="F32" i="3"/>
  <c r="F37" i="3"/>
  <c r="J37" i="3" s="1"/>
  <c r="I30" i="3"/>
  <c r="J30" i="3" s="1"/>
  <c r="F35" i="3" l="1"/>
  <c r="J35" i="3" s="1"/>
</calcChain>
</file>

<file path=xl/sharedStrings.xml><?xml version="1.0" encoding="utf-8"?>
<sst xmlns="http://schemas.openxmlformats.org/spreadsheetml/2006/main" count="269" uniqueCount="54">
  <si>
    <t>ppm</t>
  </si>
  <si>
    <t>24Hr</t>
  </si>
  <si>
    <t>Rockfeller</t>
  </si>
  <si>
    <t>St Mary</t>
  </si>
  <si>
    <t>1hr</t>
  </si>
  <si>
    <t>24 hr</t>
  </si>
  <si>
    <t>Avg Mortality</t>
  </si>
  <si>
    <t>Std dev</t>
  </si>
  <si>
    <t>std dev</t>
  </si>
  <si>
    <t>Std Dev</t>
  </si>
  <si>
    <t>St Ann</t>
  </si>
  <si>
    <t>St Thomas</t>
  </si>
  <si>
    <t>1 hr</t>
  </si>
  <si>
    <t>24 Hrs</t>
  </si>
  <si>
    <t>KSA</t>
  </si>
  <si>
    <t>St Catherine</t>
  </si>
  <si>
    <t>Portland</t>
  </si>
  <si>
    <t>24 hours</t>
  </si>
  <si>
    <t>Average</t>
  </si>
  <si>
    <t>0 ppm</t>
  </si>
  <si>
    <t>2 ppm</t>
  </si>
  <si>
    <t>4 ppm</t>
  </si>
  <si>
    <t>6ppm</t>
  </si>
  <si>
    <t>8ppm</t>
  </si>
  <si>
    <t>Parish</t>
  </si>
  <si>
    <t>R1</t>
  </si>
  <si>
    <t>R2</t>
  </si>
  <si>
    <t>R3</t>
  </si>
  <si>
    <t>R4</t>
  </si>
  <si>
    <t>Avg</t>
  </si>
  <si>
    <t>Rockefeller</t>
  </si>
  <si>
    <t>St. Mary</t>
  </si>
  <si>
    <t>St. Ann</t>
  </si>
  <si>
    <t>St. Thomas</t>
  </si>
  <si>
    <t>St. Catherine</t>
  </si>
  <si>
    <t xml:space="preserve">1hr </t>
  </si>
  <si>
    <t>Methoprene</t>
  </si>
  <si>
    <t>% Mortality</t>
  </si>
  <si>
    <t>Corrected mortality</t>
  </si>
  <si>
    <t>Diflubenzuron</t>
  </si>
  <si>
    <t>Total Adult Emerged</t>
  </si>
  <si>
    <t>Concentration ppm</t>
  </si>
  <si>
    <t>Total Mosquito Mortality</t>
  </si>
  <si>
    <t>% Adult Emerged</t>
  </si>
  <si>
    <t>% Corrected Adult Emerged</t>
  </si>
  <si>
    <t>% Adult Inhibition</t>
  </si>
  <si>
    <t>Corrected Mortality Calculated when Mortality in the Control was Greater than 5%</t>
  </si>
  <si>
    <t>Total Mosquito</t>
  </si>
  <si>
    <t>Concentration (ppm)</t>
  </si>
  <si>
    <t>Replicates</t>
  </si>
  <si>
    <t>Mortality at 1 hr</t>
  </si>
  <si>
    <t>Larvae Population (n)</t>
  </si>
  <si>
    <t>Mortality at 24 hr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</si>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</sst>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entury Gothic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2" fontId="0" fillId="0" borderId="0" xfId="1" applyNumberFormat="1" applyFont="1" applyFill="1" applyBorder="1"/>
    <xf numFmtId="2" fontId="0" fillId="0" borderId="1" xfId="0" applyNumberFormat="1" applyBorder="1"/>
    <xf numFmtId="2" fontId="0" fillId="0" borderId="1" xfId="0" applyNumberFormat="1" applyBorder="1" applyProtection="1"/>
    <xf numFmtId="0" fontId="0" fillId="0" borderId="0" xfId="0" applyProtection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2" fontId="0" fillId="0" borderId="0" xfId="0" applyNumberFormat="1" applyFill="1" applyBorder="1"/>
    <xf numFmtId="0" fontId="0" fillId="0" borderId="1" xfId="0" applyBorder="1"/>
    <xf numFmtId="164" fontId="2" fillId="0" borderId="0" xfId="1" applyNumberFormat="1" applyFont="1" applyBorder="1"/>
    <xf numFmtId="0" fontId="2" fillId="0" borderId="0" xfId="0" applyFont="1"/>
    <xf numFmtId="165" fontId="0" fillId="0" borderId="0" xfId="0" applyNumberFormat="1"/>
    <xf numFmtId="2" fontId="2" fillId="0" borderId="0" xfId="0" applyNumberFormat="1" applyFont="1"/>
    <xf numFmtId="2" fontId="2" fillId="0" borderId="1" xfId="0" applyNumberFormat="1" applyFont="1" applyBorder="1"/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Protection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2" fontId="0" fillId="0" borderId="0" xfId="1" applyNumberFormat="1" applyFont="1" applyBorder="1"/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2" fontId="8" fillId="0" borderId="0" xfId="0" applyNumberFormat="1" applyFont="1" applyBorder="1"/>
    <xf numFmtId="2" fontId="8" fillId="0" borderId="0" xfId="0" applyNumberFormat="1" applyFont="1"/>
    <xf numFmtId="2" fontId="8" fillId="0" borderId="0" xfId="0" applyNumberFormat="1" applyFont="1" applyFill="1" applyBorder="1"/>
    <xf numFmtId="1" fontId="0" fillId="0" borderId="0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 applyProtection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596900</xdr:colOff>
      <xdr:row>42</xdr:row>
      <xdr:rowOff>25400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A88233-5878-FA47-B2CA-34406D76EA20}"/>
            </a:ext>
          </a:extLst>
        </xdr:cNvPr>
        <xdr:cNvSpPr txBox="1"/>
      </xdr:nvSpPr>
      <xdr:spPr>
        <a:xfrm>
          <a:off x="16560800" y="85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596900</xdr:colOff>
      <xdr:row>43</xdr:row>
      <xdr:rowOff>25400</xdr:rowOff>
    </xdr:from>
    <xdr:ext cx="184731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E0E8CC-8EF1-F946-8C07-D8CFF49E3E1A}"/>
            </a:ext>
          </a:extLst>
        </xdr:cNvPr>
        <xdr:cNvSpPr txBox="1"/>
      </xdr:nvSpPr>
      <xdr:spPr>
        <a:xfrm>
          <a:off x="24743833" y="9558867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DD70-0397-4E44-818E-6AD39437F6E6}">
  <dimension ref="A1:AJ43"/>
  <sheetViews>
    <sheetView tabSelected="1" topLeftCell="G8" zoomScale="150" zoomScaleNormal="150" workbookViewId="0">
      <selection activeCell="R10" sqref="R10"/>
    </sheetView>
  </sheetViews>
  <sheetFormatPr baseColWidth="10" defaultRowHeight="16" x14ac:dyDescent="0.2"/>
  <cols>
    <col min="1" max="1" width="10.83203125" style="1"/>
    <col min="2" max="2" width="13.83203125" style="4" customWidth="1"/>
    <col min="3" max="8" width="10.83203125" style="4"/>
    <col min="9" max="9" width="12.83203125" style="4" customWidth="1"/>
    <col min="10" max="16" width="10.83203125" style="4"/>
    <col min="17" max="17" width="13" style="4" customWidth="1"/>
    <col min="18" max="23" width="10.83203125" style="4"/>
    <col min="24" max="24" width="12.6640625" style="4" customWidth="1"/>
    <col min="25" max="30" width="10.83203125" style="4"/>
    <col min="31" max="36" width="10.83203125" style="2"/>
  </cols>
  <sheetData>
    <row r="1" spans="1:3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/>
      <c r="AF1"/>
      <c r="AG1"/>
      <c r="AH1"/>
      <c r="AI1"/>
      <c r="AJ1"/>
    </row>
    <row r="2" spans="1:36" s="10" customFormat="1" x14ac:dyDescent="0.2">
      <c r="A2" s="10" t="s">
        <v>12</v>
      </c>
      <c r="B2" s="11" t="s">
        <v>0</v>
      </c>
      <c r="C2" s="11">
        <v>0</v>
      </c>
      <c r="D2" s="16">
        <f>1.25/250</f>
        <v>5.0000000000000001E-3</v>
      </c>
      <c r="E2" s="16">
        <f>6.25/250</f>
        <v>2.5000000000000001E-2</v>
      </c>
      <c r="F2" s="16">
        <f>31.25/250</f>
        <v>0.125</v>
      </c>
      <c r="G2" s="16">
        <f>156.25/250</f>
        <v>0.625</v>
      </c>
      <c r="H2" s="16"/>
      <c r="I2" s="11" t="s">
        <v>0</v>
      </c>
      <c r="J2" s="11">
        <v>0</v>
      </c>
      <c r="K2" s="16">
        <v>5.0000000000000001E-3</v>
      </c>
      <c r="L2" s="16">
        <v>2.5000000000000001E-2</v>
      </c>
      <c r="M2" s="16">
        <v>0.125</v>
      </c>
      <c r="N2" s="16">
        <v>0.625</v>
      </c>
      <c r="O2" s="16"/>
      <c r="P2" s="11" t="s">
        <v>1</v>
      </c>
      <c r="Q2" s="11" t="s">
        <v>0</v>
      </c>
      <c r="R2" s="11">
        <v>0</v>
      </c>
      <c r="S2" s="16">
        <f>1.25/250</f>
        <v>5.0000000000000001E-3</v>
      </c>
      <c r="T2" s="16">
        <f>6.25/250</f>
        <v>2.5000000000000001E-2</v>
      </c>
      <c r="U2" s="16">
        <f>31.25/250</f>
        <v>0.125</v>
      </c>
      <c r="V2" s="16">
        <f>156.25/250</f>
        <v>0.625</v>
      </c>
      <c r="W2" s="11"/>
      <c r="X2" s="11" t="s">
        <v>0</v>
      </c>
      <c r="Y2" s="11">
        <v>0</v>
      </c>
      <c r="Z2" s="16">
        <f>1.25/250</f>
        <v>5.0000000000000001E-3</v>
      </c>
      <c r="AA2" s="16">
        <f>6.25/250</f>
        <v>2.5000000000000001E-2</v>
      </c>
      <c r="AB2" s="16">
        <f>31.25/250</f>
        <v>0.125</v>
      </c>
      <c r="AC2" s="16">
        <f>156.25/250</f>
        <v>0.625</v>
      </c>
      <c r="AD2" s="11"/>
      <c r="AE2" s="11"/>
      <c r="AF2" s="11"/>
      <c r="AG2" s="11"/>
      <c r="AH2" s="11"/>
      <c r="AI2" s="11"/>
      <c r="AJ2" s="11"/>
    </row>
    <row r="3" spans="1:36" x14ac:dyDescent="0.2">
      <c r="B3" s="40" t="s">
        <v>30</v>
      </c>
      <c r="C3" s="1">
        <v>0</v>
      </c>
      <c r="D3" s="1">
        <v>66.666666666666657</v>
      </c>
      <c r="E3" s="1">
        <v>100</v>
      </c>
      <c r="F3" s="1">
        <v>100</v>
      </c>
      <c r="G3" s="1">
        <v>100</v>
      </c>
      <c r="H3" s="1"/>
      <c r="I3" s="40" t="s">
        <v>3</v>
      </c>
      <c r="K3" s="41"/>
      <c r="L3" s="41"/>
      <c r="M3" s="41"/>
      <c r="Q3" s="40" t="s">
        <v>2</v>
      </c>
      <c r="R3" s="1">
        <v>0</v>
      </c>
      <c r="S3" s="1">
        <v>66.666666666666657</v>
      </c>
      <c r="T3" s="1">
        <v>100</v>
      </c>
      <c r="U3" s="1">
        <v>100</v>
      </c>
      <c r="V3" s="1">
        <v>100</v>
      </c>
      <c r="X3" s="40" t="s">
        <v>3</v>
      </c>
      <c r="Z3" s="41"/>
      <c r="AA3" s="41"/>
      <c r="AB3" s="41"/>
    </row>
    <row r="4" spans="1:36" x14ac:dyDescent="0.2">
      <c r="B4" s="4" t="s">
        <v>4</v>
      </c>
      <c r="C4" s="1">
        <v>0</v>
      </c>
      <c r="D4" s="1">
        <v>60</v>
      </c>
      <c r="E4" s="1">
        <v>100</v>
      </c>
      <c r="F4" s="1">
        <v>100</v>
      </c>
      <c r="G4" s="1">
        <v>100</v>
      </c>
      <c r="H4" s="1"/>
      <c r="I4" s="4" t="s">
        <v>4</v>
      </c>
      <c r="J4" s="41">
        <v>0</v>
      </c>
      <c r="K4" s="41">
        <f>1/25 *100</f>
        <v>4</v>
      </c>
      <c r="L4" s="41">
        <f>1/25 *100</f>
        <v>4</v>
      </c>
      <c r="M4" s="41">
        <f>7/25 *100</f>
        <v>28.000000000000004</v>
      </c>
      <c r="N4" s="4">
        <f>8/25 *100</f>
        <v>32</v>
      </c>
      <c r="R4" s="1">
        <v>4.3478260869565215</v>
      </c>
      <c r="S4" s="1">
        <v>60</v>
      </c>
      <c r="T4" s="1">
        <v>100</v>
      </c>
      <c r="U4" s="1">
        <v>100</v>
      </c>
      <c r="V4" s="1">
        <v>100</v>
      </c>
      <c r="X4" s="4" t="s">
        <v>5</v>
      </c>
      <c r="Y4" s="4">
        <v>0</v>
      </c>
      <c r="Z4" s="4">
        <f>2/25 *100</f>
        <v>8</v>
      </c>
      <c r="AA4" s="4">
        <f>19/25 *100</f>
        <v>76</v>
      </c>
      <c r="AB4" s="4">
        <v>100</v>
      </c>
      <c r="AC4" s="4">
        <v>100</v>
      </c>
    </row>
    <row r="5" spans="1:36" x14ac:dyDescent="0.2">
      <c r="C5" s="1">
        <v>0</v>
      </c>
      <c r="D5" s="1">
        <v>53.333333333333336</v>
      </c>
      <c r="E5" s="1">
        <v>100</v>
      </c>
      <c r="F5" s="1">
        <v>100</v>
      </c>
      <c r="G5" s="1">
        <v>100</v>
      </c>
      <c r="H5" s="1"/>
      <c r="J5" s="41">
        <v>0</v>
      </c>
      <c r="K5" s="41">
        <v>0</v>
      </c>
      <c r="L5" s="41">
        <v>0</v>
      </c>
      <c r="M5" s="41">
        <f>8/25 *100</f>
        <v>32</v>
      </c>
      <c r="N5" s="4">
        <f>14/25 *100</f>
        <v>56.000000000000007</v>
      </c>
      <c r="R5" s="1">
        <v>2.9411764705882351</v>
      </c>
      <c r="S5" s="1">
        <v>53.333333333333336</v>
      </c>
      <c r="T5" s="1">
        <v>100</v>
      </c>
      <c r="U5" s="1">
        <v>100</v>
      </c>
      <c r="V5" s="1">
        <v>100</v>
      </c>
      <c r="Y5" s="4">
        <v>0</v>
      </c>
      <c r="Z5" s="4">
        <v>0</v>
      </c>
      <c r="AA5" s="4">
        <f>21/25 *100</f>
        <v>84</v>
      </c>
      <c r="AB5" s="4">
        <v>100</v>
      </c>
      <c r="AC5" s="4">
        <v>100</v>
      </c>
    </row>
    <row r="6" spans="1:36" x14ac:dyDescent="0.2">
      <c r="C6" s="1">
        <v>0</v>
      </c>
      <c r="D6" s="1">
        <v>66.666669999999996</v>
      </c>
      <c r="E6" s="1">
        <v>90</v>
      </c>
      <c r="F6" s="1">
        <v>100</v>
      </c>
      <c r="G6" s="1">
        <v>100</v>
      </c>
      <c r="H6" s="1"/>
      <c r="J6" s="41">
        <v>0</v>
      </c>
      <c r="K6" s="41">
        <v>0</v>
      </c>
      <c r="L6" s="41">
        <f>1/25 *100</f>
        <v>4</v>
      </c>
      <c r="M6" s="41">
        <f>7/25 *100</f>
        <v>28.000000000000004</v>
      </c>
      <c r="N6" s="4">
        <f>16/25 *100</f>
        <v>64</v>
      </c>
      <c r="R6" s="1">
        <v>0</v>
      </c>
      <c r="S6" s="1">
        <v>66.666669999999996</v>
      </c>
      <c r="T6" s="1">
        <v>90</v>
      </c>
      <c r="U6" s="1">
        <v>100</v>
      </c>
      <c r="V6" s="1">
        <v>100</v>
      </c>
      <c r="Y6" s="4">
        <v>0</v>
      </c>
      <c r="Z6" s="4">
        <v>0</v>
      </c>
      <c r="AA6" s="4">
        <f>8/25 *100</f>
        <v>32</v>
      </c>
      <c r="AB6" s="4">
        <v>100</v>
      </c>
      <c r="AC6" s="4">
        <v>100</v>
      </c>
    </row>
    <row r="7" spans="1:36" x14ac:dyDescent="0.2">
      <c r="G7" s="41"/>
      <c r="H7" s="41"/>
      <c r="J7" s="41">
        <v>0</v>
      </c>
      <c r="K7" s="41">
        <f>0/25 *100</f>
        <v>0</v>
      </c>
      <c r="L7" s="41">
        <v>0</v>
      </c>
      <c r="M7" s="41">
        <f>5/25 *100</f>
        <v>20</v>
      </c>
      <c r="N7" s="4">
        <f>10/25 *100</f>
        <v>40</v>
      </c>
      <c r="V7" s="41"/>
      <c r="Y7" s="4">
        <v>0</v>
      </c>
      <c r="Z7" s="4">
        <f>3/25 *100</f>
        <v>12</v>
      </c>
      <c r="AA7" s="4">
        <f>8/25 *100</f>
        <v>32</v>
      </c>
      <c r="AB7" s="4">
        <v>100</v>
      </c>
      <c r="AC7" s="4">
        <v>100</v>
      </c>
    </row>
    <row r="8" spans="1:36" x14ac:dyDescent="0.2">
      <c r="B8" s="4" t="s">
        <v>6</v>
      </c>
      <c r="C8" s="4">
        <f>AVERAGE(C3:C6)</f>
        <v>0</v>
      </c>
      <c r="D8" s="4">
        <f t="shared" ref="D8:G8" si="0">AVERAGE(D3:D6)</f>
        <v>61.666667500000003</v>
      </c>
      <c r="E8" s="4">
        <f t="shared" si="0"/>
        <v>97.5</v>
      </c>
      <c r="F8" s="4">
        <f t="shared" si="0"/>
        <v>100</v>
      </c>
      <c r="G8" s="4">
        <f t="shared" si="0"/>
        <v>100</v>
      </c>
      <c r="I8" s="4" t="str">
        <f>B8</f>
        <v>Avg Mortality</v>
      </c>
      <c r="J8" s="4">
        <f>AVERAGE(J4:J7)</f>
        <v>0</v>
      </c>
      <c r="K8" s="4">
        <f t="shared" ref="K8:N8" si="1">AVERAGE(K4:K7)</f>
        <v>1</v>
      </c>
      <c r="L8" s="4">
        <f t="shared" si="1"/>
        <v>2</v>
      </c>
      <c r="M8" s="4">
        <f t="shared" si="1"/>
        <v>27</v>
      </c>
      <c r="N8" s="4">
        <f t="shared" si="1"/>
        <v>48</v>
      </c>
      <c r="Q8" s="4" t="s">
        <v>6</v>
      </c>
      <c r="R8" s="4">
        <f>AVERAGE(R3:R6)</f>
        <v>1.8222506393861893</v>
      </c>
      <c r="S8" s="4">
        <f t="shared" ref="S8:V8" si="2">AVERAGE(S3:S6)</f>
        <v>61.666667500000003</v>
      </c>
      <c r="T8" s="4">
        <f t="shared" si="2"/>
        <v>97.5</v>
      </c>
      <c r="U8" s="4">
        <f t="shared" si="2"/>
        <v>100</v>
      </c>
      <c r="V8" s="4">
        <f t="shared" si="2"/>
        <v>100</v>
      </c>
      <c r="X8" s="4" t="str">
        <f>Q8</f>
        <v>Avg Mortality</v>
      </c>
      <c r="Y8" s="4">
        <f>AVERAGE(Y4:Y7)</f>
        <v>0</v>
      </c>
      <c r="Z8" s="4">
        <f t="shared" ref="Z8:AC8" si="3">AVERAGE(Z4:Z7)</f>
        <v>5</v>
      </c>
      <c r="AA8" s="4">
        <f t="shared" si="3"/>
        <v>56</v>
      </c>
      <c r="AB8" s="4">
        <f t="shared" si="3"/>
        <v>100</v>
      </c>
      <c r="AC8" s="4">
        <f t="shared" si="3"/>
        <v>100</v>
      </c>
    </row>
    <row r="9" spans="1:36" x14ac:dyDescent="0.2">
      <c r="B9" s="4" t="s">
        <v>7</v>
      </c>
      <c r="C9" s="4">
        <f>_xlfn.STDEV.P(C3:C6)</f>
        <v>0</v>
      </c>
      <c r="D9" s="4">
        <f t="shared" ref="D9:G9" si="4">_xlfn.STDEV.P(D3:D6)</f>
        <v>5.5277087377041614</v>
      </c>
      <c r="E9" s="4">
        <f t="shared" si="4"/>
        <v>4.3301270189221936</v>
      </c>
      <c r="F9" s="4">
        <f t="shared" si="4"/>
        <v>0</v>
      </c>
      <c r="G9" s="4">
        <f t="shared" si="4"/>
        <v>0</v>
      </c>
      <c r="I9" s="4" t="s">
        <v>8</v>
      </c>
      <c r="J9" s="4">
        <f t="shared" ref="J9:L9" si="5">_xlfn.STDEV.P(J4:J7)</f>
        <v>0</v>
      </c>
      <c r="K9" s="4">
        <f t="shared" ref="K9:N9" si="6">_xlfn.STDEV.P(K4:K7)</f>
        <v>1.7320508075688772</v>
      </c>
      <c r="L9" s="4">
        <f t="shared" si="6"/>
        <v>2</v>
      </c>
      <c r="M9" s="4">
        <f t="shared" si="6"/>
        <v>4.3588989435406864</v>
      </c>
      <c r="N9" s="4">
        <f t="shared" si="6"/>
        <v>12.649110640673518</v>
      </c>
      <c r="Q9" s="4" t="s">
        <v>7</v>
      </c>
      <c r="R9" s="4">
        <f>_xlfn.STDEV.P(R3:R6)</f>
        <v>1.8888965788647631</v>
      </c>
      <c r="S9" s="4">
        <f t="shared" ref="S9:V9" si="7">_xlfn.STDEV.P(S3:S6)</f>
        <v>5.5277087377041614</v>
      </c>
      <c r="T9" s="4">
        <f t="shared" si="7"/>
        <v>4.3301270189221936</v>
      </c>
      <c r="U9" s="4">
        <f t="shared" si="7"/>
        <v>0</v>
      </c>
      <c r="V9" s="4">
        <f t="shared" si="7"/>
        <v>0</v>
      </c>
      <c r="X9" s="4" t="s">
        <v>9</v>
      </c>
      <c r="Y9" s="4">
        <f t="shared" ref="Y9:AC9" si="8">_xlfn.STDEV.P(Y4:Y7)</f>
        <v>0</v>
      </c>
      <c r="Z9" s="4">
        <f t="shared" ref="Z9:AC9" si="9">_xlfn.STDEV.P(Z4:Z7)</f>
        <v>5.196152422706632</v>
      </c>
      <c r="AA9" s="4">
        <f t="shared" si="9"/>
        <v>24.166091947189145</v>
      </c>
      <c r="AB9" s="4">
        <f t="shared" si="9"/>
        <v>0</v>
      </c>
      <c r="AC9" s="4">
        <f t="shared" si="9"/>
        <v>0</v>
      </c>
    </row>
    <row r="10" spans="1:36" x14ac:dyDescent="0.2">
      <c r="B10" s="4" t="s">
        <v>53</v>
      </c>
      <c r="C10" s="4">
        <f>C9/SQRT(COUNT(C3:C6))</f>
        <v>0</v>
      </c>
      <c r="D10" s="4">
        <f t="shared" ref="D10:G10" si="10">D9/SQRT(COUNT(D3:D6))</f>
        <v>2.7638543688520807</v>
      </c>
      <c r="E10" s="4">
        <f t="shared" si="10"/>
        <v>2.1650635094610968</v>
      </c>
      <c r="F10" s="4">
        <f t="shared" si="10"/>
        <v>0</v>
      </c>
      <c r="G10" s="4">
        <f t="shared" si="10"/>
        <v>0</v>
      </c>
      <c r="H10" s="41"/>
      <c r="I10" s="4" t="s">
        <v>53</v>
      </c>
      <c r="J10" s="4">
        <f>J9/SQRT(COUNT(J4:J7))</f>
        <v>0</v>
      </c>
      <c r="K10" s="4">
        <f t="shared" ref="K10:N10" si="11">K9/SQRT(COUNT(K4:K7))</f>
        <v>0.8660254037844386</v>
      </c>
      <c r="L10" s="4">
        <f t="shared" si="11"/>
        <v>1</v>
      </c>
      <c r="M10" s="4">
        <f t="shared" si="11"/>
        <v>2.1794494717703432</v>
      </c>
      <c r="N10" s="4">
        <f t="shared" si="11"/>
        <v>6.324555320336759</v>
      </c>
      <c r="Q10" s="4" t="s">
        <v>53</v>
      </c>
      <c r="R10" s="4">
        <f>R9/SQRT(COUNT(R3:R6))</f>
        <v>0.94444828943238157</v>
      </c>
      <c r="S10" s="4">
        <f t="shared" ref="S10:V10" si="12">S9/SQRT(COUNT(S3:S6))</f>
        <v>2.7638543688520807</v>
      </c>
      <c r="T10" s="4">
        <f t="shared" si="12"/>
        <v>2.1650635094610968</v>
      </c>
      <c r="U10" s="4">
        <f t="shared" si="12"/>
        <v>0</v>
      </c>
      <c r="V10" s="4">
        <f t="shared" si="12"/>
        <v>0</v>
      </c>
      <c r="X10" s="4" t="s">
        <v>53</v>
      </c>
      <c r="Y10" s="4">
        <f>Y9/SQRT(COUNT(Y4:Y7))</f>
        <v>0</v>
      </c>
      <c r="Z10" s="4">
        <f t="shared" ref="Z10:AC10" si="13">Z9/SQRT(COUNT(Z4:Z7))</f>
        <v>2.598076211353316</v>
      </c>
      <c r="AA10" s="4">
        <f t="shared" si="13"/>
        <v>12.083045973594572</v>
      </c>
      <c r="AB10" s="4">
        <f t="shared" si="13"/>
        <v>0</v>
      </c>
      <c r="AC10" s="4">
        <f t="shared" si="13"/>
        <v>0</v>
      </c>
    </row>
    <row r="11" spans="1:36" s="10" customFormat="1" x14ac:dyDescent="0.2">
      <c r="B11" s="11" t="s">
        <v>0</v>
      </c>
      <c r="C11" s="11">
        <v>0</v>
      </c>
      <c r="D11" s="16">
        <f>1.25/250</f>
        <v>5.0000000000000001E-3</v>
      </c>
      <c r="E11" s="16">
        <f>6.25/250</f>
        <v>2.5000000000000001E-2</v>
      </c>
      <c r="F11" s="16">
        <f>31.25/250</f>
        <v>0.125</v>
      </c>
      <c r="G11" s="16">
        <f>156.25/250</f>
        <v>0.625</v>
      </c>
      <c r="H11" s="16"/>
      <c r="I11" s="11" t="s">
        <v>0</v>
      </c>
      <c r="J11" s="11">
        <v>0</v>
      </c>
      <c r="K11" s="16">
        <f>1.25/250</f>
        <v>5.0000000000000001E-3</v>
      </c>
      <c r="L11" s="16">
        <f>6.25/250</f>
        <v>2.5000000000000001E-2</v>
      </c>
      <c r="M11" s="16">
        <f>31.25/250</f>
        <v>0.125</v>
      </c>
      <c r="N11" s="16">
        <f>156.25/250</f>
        <v>0.625</v>
      </c>
      <c r="O11" s="16"/>
      <c r="P11" s="11"/>
      <c r="Q11" s="11" t="s">
        <v>0</v>
      </c>
      <c r="R11" s="11">
        <v>0</v>
      </c>
      <c r="S11" s="16">
        <f>1.25/250</f>
        <v>5.0000000000000001E-3</v>
      </c>
      <c r="T11" s="16">
        <f>6.25/250</f>
        <v>2.5000000000000001E-2</v>
      </c>
      <c r="U11" s="16">
        <f>31.25/250</f>
        <v>0.125</v>
      </c>
      <c r="V11" s="16">
        <f>156.25/250</f>
        <v>0.625</v>
      </c>
      <c r="W11" s="11"/>
      <c r="X11" s="11" t="s">
        <v>0</v>
      </c>
      <c r="Y11" s="11">
        <v>0</v>
      </c>
      <c r="Z11" s="16">
        <f>1.25/250</f>
        <v>5.0000000000000001E-3</v>
      </c>
      <c r="AA11" s="16">
        <f>6.25/250</f>
        <v>2.5000000000000001E-2</v>
      </c>
      <c r="AB11" s="16">
        <f>31.25/250</f>
        <v>0.125</v>
      </c>
      <c r="AC11" s="16">
        <f>156.25/250</f>
        <v>0.625</v>
      </c>
      <c r="AD11" s="11"/>
      <c r="AE11" s="11"/>
      <c r="AF11" s="11"/>
      <c r="AG11" s="11"/>
      <c r="AH11" s="11"/>
      <c r="AI11" s="11"/>
      <c r="AJ11" s="11"/>
    </row>
    <row r="12" spans="1:36" x14ac:dyDescent="0.2">
      <c r="B12" s="40" t="s">
        <v>10</v>
      </c>
      <c r="D12" s="41"/>
      <c r="E12" s="41"/>
      <c r="F12" s="41"/>
      <c r="G12" s="41"/>
      <c r="H12" s="41"/>
      <c r="I12" s="40" t="s">
        <v>11</v>
      </c>
      <c r="K12" s="41"/>
      <c r="L12" s="41"/>
      <c r="M12" s="41"/>
      <c r="Q12" s="40" t="s">
        <v>10</v>
      </c>
      <c r="S12" s="41"/>
      <c r="T12" s="41"/>
      <c r="U12" s="41"/>
      <c r="V12" s="41"/>
      <c r="X12" s="40" t="s">
        <v>11</v>
      </c>
      <c r="Z12" s="41"/>
      <c r="AA12" s="41"/>
      <c r="AB12" s="41"/>
    </row>
    <row r="13" spans="1:36" x14ac:dyDescent="0.2">
      <c r="B13" s="4" t="s">
        <v>12</v>
      </c>
      <c r="C13" s="4">
        <v>0</v>
      </c>
      <c r="D13" s="4">
        <v>0</v>
      </c>
      <c r="E13" s="4">
        <v>0</v>
      </c>
      <c r="F13" s="4">
        <v>0</v>
      </c>
      <c r="G13" s="4">
        <f>3/25 *100</f>
        <v>12</v>
      </c>
      <c r="H13" s="41"/>
      <c r="I13" s="4" t="s">
        <v>12</v>
      </c>
      <c r="J13" s="41">
        <v>0</v>
      </c>
      <c r="K13" s="41">
        <f>1/25</f>
        <v>0.04</v>
      </c>
      <c r="L13" s="41">
        <f>0/25</f>
        <v>0</v>
      </c>
      <c r="M13" s="41">
        <f>5/25 *100</f>
        <v>20</v>
      </c>
      <c r="N13" s="4">
        <f>16/25 *100</f>
        <v>64</v>
      </c>
      <c r="Q13" s="4" t="s">
        <v>5</v>
      </c>
      <c r="R13" s="4">
        <v>0</v>
      </c>
      <c r="S13" s="4">
        <f>4/25 *100</f>
        <v>16</v>
      </c>
      <c r="T13" s="4">
        <f>21/25 *100</f>
        <v>84</v>
      </c>
      <c r="U13" s="4">
        <f>22/25 *100</f>
        <v>88</v>
      </c>
      <c r="V13" s="4">
        <f>22/25 *100</f>
        <v>88</v>
      </c>
      <c r="X13" s="4" t="s">
        <v>13</v>
      </c>
      <c r="Y13" s="4">
        <v>0</v>
      </c>
      <c r="Z13" s="4">
        <f>2/25 *100</f>
        <v>8</v>
      </c>
      <c r="AA13" s="4">
        <f>20/25 *100</f>
        <v>80</v>
      </c>
      <c r="AB13" s="4">
        <v>100</v>
      </c>
      <c r="AC13" s="4">
        <v>100</v>
      </c>
    </row>
    <row r="14" spans="1:36" x14ac:dyDescent="0.2">
      <c r="C14" s="4">
        <v>0</v>
      </c>
      <c r="D14" s="4">
        <v>0</v>
      </c>
      <c r="E14" s="4">
        <v>0</v>
      </c>
      <c r="F14" s="4">
        <v>0</v>
      </c>
      <c r="G14" s="4">
        <f>1/25 *100</f>
        <v>4</v>
      </c>
      <c r="H14" s="41"/>
      <c r="J14" s="41">
        <v>0</v>
      </c>
      <c r="K14" s="41">
        <f>0/25</f>
        <v>0</v>
      </c>
      <c r="L14" s="41">
        <f>0/25</f>
        <v>0</v>
      </c>
      <c r="M14" s="41">
        <f>4/25 *100</f>
        <v>16</v>
      </c>
      <c r="N14" s="4">
        <f>13/25 *100</f>
        <v>52</v>
      </c>
      <c r="R14" s="4">
        <v>0</v>
      </c>
      <c r="S14" s="4">
        <v>0</v>
      </c>
      <c r="T14" s="4">
        <f>5/25 *100</f>
        <v>20</v>
      </c>
      <c r="U14" s="4">
        <f>23/25*100</f>
        <v>92</v>
      </c>
      <c r="V14" s="4">
        <f>23/25 *100</f>
        <v>92</v>
      </c>
      <c r="Y14" s="4">
        <v>0</v>
      </c>
      <c r="Z14" s="4">
        <v>0</v>
      </c>
      <c r="AA14" s="4">
        <f>22/25 *100</f>
        <v>88</v>
      </c>
      <c r="AB14" s="4">
        <v>100</v>
      </c>
      <c r="AC14" s="4">
        <v>100</v>
      </c>
    </row>
    <row r="15" spans="1:36" x14ac:dyDescent="0.2">
      <c r="C15" s="4">
        <v>0</v>
      </c>
      <c r="D15" s="4">
        <v>0</v>
      </c>
      <c r="E15" s="4">
        <v>0</v>
      </c>
      <c r="F15" s="4">
        <f>1/25 *100</f>
        <v>4</v>
      </c>
      <c r="G15" s="4">
        <v>0</v>
      </c>
      <c r="H15" s="41"/>
      <c r="J15" s="41">
        <v>0</v>
      </c>
      <c r="K15" s="41">
        <f>0/25</f>
        <v>0</v>
      </c>
      <c r="L15" s="41">
        <f>0/25</f>
        <v>0</v>
      </c>
      <c r="M15" s="41">
        <f>3/25 *100</f>
        <v>12</v>
      </c>
      <c r="N15" s="4">
        <f>12/25 *100</f>
        <v>48</v>
      </c>
      <c r="R15" s="4">
        <v>0</v>
      </c>
      <c r="S15" s="4">
        <v>0</v>
      </c>
      <c r="T15" s="4">
        <v>0</v>
      </c>
      <c r="U15" s="4">
        <f>18/25 *100</f>
        <v>72</v>
      </c>
      <c r="V15" s="4">
        <f>23/25 *100</f>
        <v>92</v>
      </c>
      <c r="Y15" s="4">
        <v>0</v>
      </c>
      <c r="Z15" s="4">
        <v>0</v>
      </c>
      <c r="AA15" s="4">
        <f>21/25 *100</f>
        <v>84</v>
      </c>
      <c r="AB15" s="4">
        <v>100</v>
      </c>
      <c r="AC15" s="4">
        <v>100</v>
      </c>
    </row>
    <row r="16" spans="1:36" x14ac:dyDescent="0.2">
      <c r="C16" s="4">
        <v>0</v>
      </c>
      <c r="D16" s="4">
        <v>0</v>
      </c>
      <c r="E16" s="4">
        <v>0</v>
      </c>
      <c r="F16" s="4">
        <v>0</v>
      </c>
      <c r="G16" s="4">
        <f>1/25 *100</f>
        <v>4</v>
      </c>
      <c r="H16" s="41"/>
      <c r="J16" s="41">
        <v>0</v>
      </c>
      <c r="K16" s="41">
        <f>0/25</f>
        <v>0</v>
      </c>
      <c r="L16" s="41">
        <v>0</v>
      </c>
      <c r="M16" s="41">
        <f>6/25 *100</f>
        <v>24</v>
      </c>
      <c r="N16" s="4">
        <f>5/25 *100</f>
        <v>20</v>
      </c>
      <c r="R16" s="4">
        <v>0</v>
      </c>
      <c r="S16" s="4">
        <v>0</v>
      </c>
      <c r="T16" s="4">
        <v>0</v>
      </c>
      <c r="U16" s="4">
        <f>4/25 *100</f>
        <v>16</v>
      </c>
      <c r="V16" s="4">
        <f>20/25 *100</f>
        <v>80</v>
      </c>
      <c r="Y16" s="4">
        <v>0</v>
      </c>
      <c r="Z16" s="4">
        <v>0</v>
      </c>
      <c r="AA16" s="4">
        <f>15/25 *100</f>
        <v>60</v>
      </c>
      <c r="AB16" s="4">
        <v>100</v>
      </c>
      <c r="AC16" s="4">
        <v>100</v>
      </c>
    </row>
    <row r="17" spans="2:36" x14ac:dyDescent="0.2">
      <c r="B17" s="4" t="str">
        <f>B8</f>
        <v>Avg Mortality</v>
      </c>
      <c r="C17" s="4">
        <f>AVERAGE(C13:C16)</f>
        <v>0</v>
      </c>
      <c r="D17" s="4">
        <f t="shared" ref="D17:G17" si="14">AVERAGE(D13:D16)</f>
        <v>0</v>
      </c>
      <c r="E17" s="4">
        <f t="shared" si="14"/>
        <v>0</v>
      </c>
      <c r="F17" s="4">
        <f t="shared" si="14"/>
        <v>1</v>
      </c>
      <c r="G17" s="4">
        <f t="shared" si="14"/>
        <v>5</v>
      </c>
      <c r="I17" s="4" t="str">
        <f>I8</f>
        <v>Avg Mortality</v>
      </c>
      <c r="J17" s="4">
        <f>AVERAGE(J13:J16)</f>
        <v>0</v>
      </c>
      <c r="K17" s="4">
        <f t="shared" ref="K17:N17" si="15">AVERAGE(K13:K16)</f>
        <v>0.01</v>
      </c>
      <c r="L17" s="4">
        <f t="shared" si="15"/>
        <v>0</v>
      </c>
      <c r="M17" s="4">
        <f t="shared" si="15"/>
        <v>18</v>
      </c>
      <c r="N17" s="4">
        <f t="shared" si="15"/>
        <v>46</v>
      </c>
      <c r="Q17" s="4" t="str">
        <f>Q8</f>
        <v>Avg Mortality</v>
      </c>
      <c r="R17" s="4">
        <f>AVERAGE(R13:R16)</f>
        <v>0</v>
      </c>
      <c r="S17" s="4">
        <f t="shared" ref="S17:V17" si="16">AVERAGE(S13:S16)</f>
        <v>4</v>
      </c>
      <c r="T17" s="4">
        <f t="shared" si="16"/>
        <v>26</v>
      </c>
      <c r="U17" s="4">
        <f t="shared" si="16"/>
        <v>67</v>
      </c>
      <c r="V17" s="4">
        <f t="shared" si="16"/>
        <v>88</v>
      </c>
      <c r="X17" s="4" t="str">
        <f>X8</f>
        <v>Avg Mortality</v>
      </c>
      <c r="Y17" s="4">
        <f>AVERAGE(Y13:Y16)</f>
        <v>0</v>
      </c>
      <c r="Z17" s="4">
        <f t="shared" ref="Z17:AC17" si="17">AVERAGE(Z13:Z16)</f>
        <v>2</v>
      </c>
      <c r="AA17" s="4">
        <f t="shared" si="17"/>
        <v>78</v>
      </c>
      <c r="AB17" s="4">
        <f t="shared" si="17"/>
        <v>100</v>
      </c>
      <c r="AC17" s="4">
        <f t="shared" si="17"/>
        <v>100</v>
      </c>
    </row>
    <row r="18" spans="2:36" x14ac:dyDescent="0.2">
      <c r="B18" s="4" t="s">
        <v>7</v>
      </c>
      <c r="C18" s="4">
        <f>_xlfn.STDEV.P(C13:C16)</f>
        <v>0</v>
      </c>
      <c r="D18" s="4">
        <f t="shared" ref="D18:G18" si="18">_xlfn.STDEV.P(D13:D16)</f>
        <v>0</v>
      </c>
      <c r="E18" s="4">
        <f t="shared" si="18"/>
        <v>0</v>
      </c>
      <c r="F18" s="4">
        <f t="shared" si="18"/>
        <v>1.7320508075688772</v>
      </c>
      <c r="G18" s="4">
        <f t="shared" si="18"/>
        <v>4.358898943540674</v>
      </c>
      <c r="I18" s="4" t="s">
        <v>8</v>
      </c>
      <c r="J18" s="4">
        <f t="shared" ref="J18:N18" si="19">_xlfn.STDEV.P(J13:J16)</f>
        <v>0</v>
      </c>
      <c r="K18" s="4">
        <f t="shared" ref="K18:N18" si="20">_xlfn.STDEV.P(K13:K16)</f>
        <v>1.7320508075688773E-2</v>
      </c>
      <c r="L18" s="4">
        <f t="shared" si="20"/>
        <v>0</v>
      </c>
      <c r="M18" s="4">
        <f t="shared" si="20"/>
        <v>4.4721359549995796</v>
      </c>
      <c r="N18" s="4">
        <f t="shared" si="20"/>
        <v>16.124515496597098</v>
      </c>
      <c r="Q18" s="4" t="s">
        <v>7</v>
      </c>
      <c r="R18" s="4">
        <f>_xlfn.STDEV.P(R13:R16)</f>
        <v>0</v>
      </c>
      <c r="S18" s="4">
        <f t="shared" ref="S18:V18" si="21">_xlfn.STDEV.P(S13:S16)</f>
        <v>6.9282032302755088</v>
      </c>
      <c r="T18" s="4">
        <f t="shared" si="21"/>
        <v>34.467375879228172</v>
      </c>
      <c r="U18" s="4">
        <f t="shared" si="21"/>
        <v>30.380915061926625</v>
      </c>
      <c r="V18" s="4">
        <f t="shared" si="21"/>
        <v>4.8989794855663558</v>
      </c>
      <c r="X18" s="4" t="s">
        <v>9</v>
      </c>
      <c r="Y18" s="4">
        <f t="shared" ref="Y18:AC18" si="22">_xlfn.STDEV.P(Y13:Y16)</f>
        <v>0</v>
      </c>
      <c r="Z18" s="4">
        <f t="shared" ref="Z18:AC18" si="23">_xlfn.STDEV.P(Z13:Z16)</f>
        <v>3.4641016151377544</v>
      </c>
      <c r="AA18" s="4">
        <f t="shared" si="23"/>
        <v>10.770329614269007</v>
      </c>
      <c r="AB18" s="4">
        <f t="shared" si="23"/>
        <v>0</v>
      </c>
      <c r="AC18" s="4">
        <f t="shared" si="23"/>
        <v>0</v>
      </c>
    </row>
    <row r="19" spans="2:36" x14ac:dyDescent="0.2">
      <c r="B19" s="4" t="s">
        <v>53</v>
      </c>
      <c r="C19" s="4">
        <f>C18/SQRT(COUNT(C13:C16))</f>
        <v>0</v>
      </c>
      <c r="D19" s="4">
        <f t="shared" ref="D19:G19" si="24">D18/SQRT(COUNT(D13:D16))</f>
        <v>0</v>
      </c>
      <c r="E19" s="4">
        <f t="shared" si="24"/>
        <v>0</v>
      </c>
      <c r="F19" s="4">
        <f t="shared" si="24"/>
        <v>0.8660254037844386</v>
      </c>
      <c r="G19" s="4">
        <f t="shared" si="24"/>
        <v>2.179449471770337</v>
      </c>
      <c r="H19" s="41"/>
      <c r="I19" s="4" t="s">
        <v>53</v>
      </c>
      <c r="J19" s="4">
        <f>J18/SQRT(COUNT(J13:J16))</f>
        <v>0</v>
      </c>
      <c r="K19" s="4">
        <f t="shared" ref="K19:N19" si="25">K18/SQRT(COUNT(K13:K16))</f>
        <v>8.6602540378443865E-3</v>
      </c>
      <c r="L19" s="4">
        <f t="shared" si="25"/>
        <v>0</v>
      </c>
      <c r="M19" s="4">
        <f t="shared" si="25"/>
        <v>2.2360679774997898</v>
      </c>
      <c r="N19" s="4">
        <f t="shared" si="25"/>
        <v>8.0622577482985491</v>
      </c>
      <c r="Q19" s="4" t="s">
        <v>53</v>
      </c>
      <c r="R19" s="4">
        <f>R18/SQRT(COUNT(R13:R16))</f>
        <v>0</v>
      </c>
      <c r="S19" s="4">
        <f t="shared" ref="S19:V19" si="26">S18/SQRT(COUNT(S13:S16))</f>
        <v>3.4641016151377544</v>
      </c>
      <c r="T19" s="4">
        <f t="shared" si="26"/>
        <v>17.233687939614086</v>
      </c>
      <c r="U19" s="4">
        <f t="shared" si="26"/>
        <v>15.190457530963313</v>
      </c>
      <c r="V19" s="4">
        <f t="shared" si="26"/>
        <v>2.4494897427831779</v>
      </c>
      <c r="X19" s="4" t="s">
        <v>53</v>
      </c>
      <c r="Y19" s="4">
        <f>Y18/SQRT(COUNT(Y13:Y16))</f>
        <v>0</v>
      </c>
      <c r="Z19" s="4">
        <f t="shared" ref="Z19:AC19" si="27">Z18/SQRT(COUNT(Z13:Z16))</f>
        <v>1.7320508075688772</v>
      </c>
      <c r="AA19" s="4">
        <f t="shared" si="27"/>
        <v>5.3851648071345037</v>
      </c>
      <c r="AB19" s="4">
        <f t="shared" si="27"/>
        <v>0</v>
      </c>
      <c r="AC19" s="4">
        <f t="shared" si="27"/>
        <v>0</v>
      </c>
    </row>
    <row r="20" spans="2:36" s="10" customFormat="1" x14ac:dyDescent="0.2">
      <c r="B20" s="11" t="s">
        <v>0</v>
      </c>
      <c r="C20" s="11">
        <v>0</v>
      </c>
      <c r="D20" s="16">
        <f>1.25/250</f>
        <v>5.0000000000000001E-3</v>
      </c>
      <c r="E20" s="16">
        <f>6.25/250</f>
        <v>2.5000000000000001E-2</v>
      </c>
      <c r="F20" s="16">
        <f>31.25/250</f>
        <v>0.125</v>
      </c>
      <c r="G20" s="16">
        <f>156.25/250</f>
        <v>0.625</v>
      </c>
      <c r="H20" s="16"/>
      <c r="I20" s="11" t="s">
        <v>0</v>
      </c>
      <c r="J20" s="11">
        <v>0</v>
      </c>
      <c r="K20" s="16">
        <f>1.25/250</f>
        <v>5.0000000000000001E-3</v>
      </c>
      <c r="L20" s="16">
        <f>6.25/250</f>
        <v>2.5000000000000001E-2</v>
      </c>
      <c r="M20" s="16">
        <f>31.25/250</f>
        <v>0.125</v>
      </c>
      <c r="N20" s="16">
        <f>156.25/250</f>
        <v>0.625</v>
      </c>
      <c r="O20" s="16"/>
      <c r="P20" s="11"/>
      <c r="Q20" s="11" t="s">
        <v>0</v>
      </c>
      <c r="R20" s="11">
        <v>0</v>
      </c>
      <c r="S20" s="16">
        <f>1.25/250</f>
        <v>5.0000000000000001E-3</v>
      </c>
      <c r="T20" s="16">
        <f>6.25/250</f>
        <v>2.5000000000000001E-2</v>
      </c>
      <c r="U20" s="16">
        <f>31.25/250</f>
        <v>0.125</v>
      </c>
      <c r="V20" s="16">
        <f>156.25/250</f>
        <v>0.625</v>
      </c>
      <c r="W20" s="11"/>
      <c r="X20" s="11" t="s">
        <v>0</v>
      </c>
      <c r="Y20" s="11">
        <v>0</v>
      </c>
      <c r="Z20" s="16">
        <f>1.25/250</f>
        <v>5.0000000000000001E-3</v>
      </c>
      <c r="AA20" s="16">
        <f>6.25/250</f>
        <v>2.5000000000000001E-2</v>
      </c>
      <c r="AB20" s="16">
        <f>31.25/250</f>
        <v>0.125</v>
      </c>
      <c r="AC20" s="16">
        <f>156.25/250</f>
        <v>0.625</v>
      </c>
      <c r="AD20" s="11"/>
      <c r="AE20" s="11"/>
      <c r="AF20" s="11"/>
      <c r="AG20" s="11"/>
      <c r="AH20" s="11"/>
      <c r="AI20" s="11"/>
      <c r="AJ20" s="11"/>
    </row>
    <row r="21" spans="2:36" x14ac:dyDescent="0.2">
      <c r="B21" s="40" t="s">
        <v>14</v>
      </c>
      <c r="D21" s="41"/>
      <c r="E21" s="41"/>
      <c r="F21" s="41"/>
      <c r="G21" s="41"/>
      <c r="H21" s="41"/>
      <c r="I21" s="40" t="s">
        <v>15</v>
      </c>
      <c r="K21" s="41"/>
      <c r="L21" s="41"/>
      <c r="M21" s="41"/>
      <c r="Q21" s="40" t="s">
        <v>14</v>
      </c>
      <c r="S21" s="41"/>
      <c r="T21" s="41"/>
      <c r="U21" s="41"/>
      <c r="V21" s="41"/>
      <c r="X21" s="40" t="s">
        <v>15</v>
      </c>
      <c r="Z21" s="41"/>
      <c r="AA21" s="41"/>
      <c r="AB21" s="41"/>
    </row>
    <row r="22" spans="2:36" x14ac:dyDescent="0.2">
      <c r="B22" s="4" t="s">
        <v>12</v>
      </c>
      <c r="C22" s="41">
        <v>0</v>
      </c>
      <c r="D22" s="41">
        <v>0</v>
      </c>
      <c r="E22" s="41">
        <v>0</v>
      </c>
      <c r="F22" s="41">
        <f>10/25 *100</f>
        <v>40</v>
      </c>
      <c r="G22" s="41">
        <f>14/25 *100</f>
        <v>56.000000000000007</v>
      </c>
      <c r="H22" s="41"/>
      <c r="I22" s="4" t="s">
        <v>12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Q22" s="4" t="s">
        <v>5</v>
      </c>
      <c r="R22" s="4">
        <v>0</v>
      </c>
      <c r="S22" s="4">
        <f>6/25 *100</f>
        <v>24</v>
      </c>
      <c r="T22" s="4">
        <v>100</v>
      </c>
      <c r="U22" s="4">
        <f>24/25 *100</f>
        <v>96</v>
      </c>
      <c r="V22" s="4">
        <v>100</v>
      </c>
      <c r="X22" s="4" t="s">
        <v>5</v>
      </c>
      <c r="Y22" s="4">
        <v>0</v>
      </c>
      <c r="Z22" s="4">
        <v>0</v>
      </c>
      <c r="AA22" s="4">
        <v>50</v>
      </c>
      <c r="AB22" s="4">
        <f>19/20 *100</f>
        <v>95</v>
      </c>
      <c r="AC22" s="4">
        <v>100</v>
      </c>
    </row>
    <row r="23" spans="2:36" x14ac:dyDescent="0.2">
      <c r="C23" s="41">
        <v>0</v>
      </c>
      <c r="D23" s="41">
        <v>0</v>
      </c>
      <c r="E23" s="41">
        <v>0</v>
      </c>
      <c r="F23" s="41">
        <f>8/25 *100</f>
        <v>32</v>
      </c>
      <c r="G23" s="41">
        <f>13/25 *100</f>
        <v>52</v>
      </c>
      <c r="H23" s="41"/>
      <c r="J23" s="4">
        <v>0</v>
      </c>
      <c r="K23" s="4">
        <v>0</v>
      </c>
      <c r="L23" s="4">
        <v>0</v>
      </c>
      <c r="M23" s="4">
        <v>0</v>
      </c>
      <c r="N23" s="4">
        <v>0</v>
      </c>
      <c r="R23" s="4">
        <v>0</v>
      </c>
      <c r="S23" s="4">
        <f>3/25 *100</f>
        <v>12</v>
      </c>
      <c r="T23" s="4">
        <f>24/25 *100</f>
        <v>96</v>
      </c>
      <c r="U23" s="4">
        <f t="shared" ref="U23:U25" si="28">24/25 *100</f>
        <v>96</v>
      </c>
      <c r="V23" s="4">
        <v>100</v>
      </c>
      <c r="Y23" s="4">
        <v>0</v>
      </c>
      <c r="Z23" s="4">
        <f>1/20 *100</f>
        <v>5</v>
      </c>
      <c r="AA23" s="4">
        <f>9/20 *100</f>
        <v>45</v>
      </c>
      <c r="AB23" s="4">
        <v>100</v>
      </c>
      <c r="AC23" s="4">
        <v>100</v>
      </c>
    </row>
    <row r="24" spans="2:36" x14ac:dyDescent="0.2">
      <c r="C24" s="41">
        <v>0</v>
      </c>
      <c r="D24" s="41">
        <v>0</v>
      </c>
      <c r="E24" s="41">
        <f>1/25 *100</f>
        <v>4</v>
      </c>
      <c r="F24" s="41">
        <f>10/25 *100</f>
        <v>40</v>
      </c>
      <c r="G24" s="41">
        <f>14/25 *100</f>
        <v>56.000000000000007</v>
      </c>
      <c r="H24" s="41"/>
      <c r="J24" s="4">
        <v>0</v>
      </c>
      <c r="K24" s="4">
        <v>0</v>
      </c>
      <c r="L24" s="4">
        <v>0</v>
      </c>
      <c r="M24" s="4">
        <v>0</v>
      </c>
      <c r="N24" s="4">
        <v>0</v>
      </c>
      <c r="R24" s="4">
        <v>0</v>
      </c>
      <c r="S24" s="4">
        <f>7/25 *100</f>
        <v>28.000000000000004</v>
      </c>
      <c r="T24" s="4">
        <f>20/25 *100</f>
        <v>80</v>
      </c>
      <c r="U24" s="4">
        <f t="shared" si="28"/>
        <v>96</v>
      </c>
      <c r="V24" s="4">
        <v>100</v>
      </c>
      <c r="Y24" s="4">
        <v>0</v>
      </c>
      <c r="Z24" s="4">
        <v>0</v>
      </c>
      <c r="AA24" s="4">
        <v>50</v>
      </c>
      <c r="AB24" s="4">
        <v>100</v>
      </c>
      <c r="AC24" s="4">
        <v>100</v>
      </c>
    </row>
    <row r="25" spans="2:36" x14ac:dyDescent="0.2">
      <c r="C25" s="41">
        <v>0</v>
      </c>
      <c r="D25" s="41">
        <v>0</v>
      </c>
      <c r="E25" s="41">
        <v>0</v>
      </c>
      <c r="F25" s="41">
        <f>9/25 *100</f>
        <v>36</v>
      </c>
      <c r="G25" s="41">
        <f>19/25 *100</f>
        <v>76</v>
      </c>
      <c r="H25" s="41"/>
      <c r="J25" s="4">
        <v>0</v>
      </c>
      <c r="K25" s="4">
        <v>0</v>
      </c>
      <c r="L25" s="4">
        <v>0</v>
      </c>
      <c r="M25" s="4">
        <v>0</v>
      </c>
      <c r="N25" s="4">
        <v>0</v>
      </c>
      <c r="R25" s="4">
        <v>0</v>
      </c>
      <c r="S25" s="4">
        <f>2/25 *100</f>
        <v>8</v>
      </c>
      <c r="T25" s="4">
        <f>23/25 *100</f>
        <v>92</v>
      </c>
      <c r="U25" s="4">
        <f t="shared" si="28"/>
        <v>96</v>
      </c>
      <c r="V25" s="4">
        <v>100</v>
      </c>
      <c r="Y25" s="4">
        <v>0</v>
      </c>
      <c r="Z25" s="4">
        <v>0</v>
      </c>
      <c r="AA25" s="4">
        <v>50</v>
      </c>
      <c r="AB25" s="4">
        <v>95</v>
      </c>
      <c r="AC25" s="4">
        <v>100</v>
      </c>
    </row>
    <row r="26" spans="2:36" x14ac:dyDescent="0.2">
      <c r="B26" s="4" t="str">
        <f>B17</f>
        <v>Avg Mortality</v>
      </c>
      <c r="C26" s="4">
        <f>AVERAGE(C22:C25)</f>
        <v>0</v>
      </c>
      <c r="D26" s="4">
        <f t="shared" ref="D26:G26" si="29">AVERAGE(D22:D25)</f>
        <v>0</v>
      </c>
      <c r="E26" s="4">
        <f t="shared" si="29"/>
        <v>1</v>
      </c>
      <c r="F26" s="4">
        <f t="shared" si="29"/>
        <v>37</v>
      </c>
      <c r="G26" s="4">
        <f t="shared" si="29"/>
        <v>60</v>
      </c>
      <c r="I26" s="4" t="str">
        <f>I17</f>
        <v>Avg Mortality</v>
      </c>
      <c r="J26" s="4">
        <f>AVERAGE(J22:J25)</f>
        <v>0</v>
      </c>
      <c r="K26" s="4">
        <f t="shared" ref="K26:N26" si="30">AVERAGE(K22:K25)</f>
        <v>0</v>
      </c>
      <c r="L26" s="4">
        <f t="shared" si="30"/>
        <v>0</v>
      </c>
      <c r="M26" s="4">
        <f t="shared" si="30"/>
        <v>0</v>
      </c>
      <c r="N26" s="4">
        <f t="shared" si="30"/>
        <v>0</v>
      </c>
      <c r="Q26" s="4" t="str">
        <f>Q17</f>
        <v>Avg Mortality</v>
      </c>
      <c r="R26" s="4">
        <f>AVERAGE(R22:R25)</f>
        <v>0</v>
      </c>
      <c r="S26" s="4">
        <f t="shared" ref="S26:V26" si="31">AVERAGE(S22:S25)</f>
        <v>18</v>
      </c>
      <c r="T26" s="4">
        <f t="shared" si="31"/>
        <v>92</v>
      </c>
      <c r="U26" s="4">
        <f t="shared" si="31"/>
        <v>96</v>
      </c>
      <c r="V26" s="4">
        <f t="shared" si="31"/>
        <v>100</v>
      </c>
      <c r="X26" s="4" t="str">
        <f>X17</f>
        <v>Avg Mortality</v>
      </c>
      <c r="Y26" s="4">
        <f>AVERAGE(Y22:Y25)</f>
        <v>0</v>
      </c>
      <c r="Z26" s="4">
        <f t="shared" ref="Z26:AC26" si="32">AVERAGE(Z22:Z25)</f>
        <v>1.25</v>
      </c>
      <c r="AA26" s="4">
        <f t="shared" si="32"/>
        <v>48.75</v>
      </c>
      <c r="AB26" s="4">
        <f t="shared" si="32"/>
        <v>97.5</v>
      </c>
      <c r="AC26" s="4">
        <f t="shared" si="32"/>
        <v>100</v>
      </c>
    </row>
    <row r="27" spans="2:36" x14ac:dyDescent="0.2">
      <c r="B27" s="4" t="s">
        <v>7</v>
      </c>
      <c r="C27" s="4">
        <f>_xlfn.STDEV.P(C22:C25)</f>
        <v>0</v>
      </c>
      <c r="D27" s="4">
        <f t="shared" ref="D27:G27" si="33">_xlfn.STDEV.P(D22:D25)</f>
        <v>0</v>
      </c>
      <c r="E27" s="4">
        <f t="shared" si="33"/>
        <v>1.7320508075688772</v>
      </c>
      <c r="F27" s="4">
        <f t="shared" si="33"/>
        <v>3.3166247903553998</v>
      </c>
      <c r="G27" s="4">
        <f t="shared" si="33"/>
        <v>9.3808315196468826</v>
      </c>
      <c r="I27" s="4" t="s">
        <v>8</v>
      </c>
      <c r="J27" s="4">
        <f t="shared" ref="D27:N27" si="34">_xlfn.STDEV.P(J22:J25)</f>
        <v>0</v>
      </c>
      <c r="K27" s="4">
        <f t="shared" ref="K27:N27" si="35">_xlfn.STDEV.P(K22:K25)</f>
        <v>0</v>
      </c>
      <c r="L27" s="4">
        <f t="shared" si="35"/>
        <v>0</v>
      </c>
      <c r="M27" s="4">
        <f t="shared" si="35"/>
        <v>0</v>
      </c>
      <c r="N27" s="4">
        <f t="shared" si="35"/>
        <v>0</v>
      </c>
      <c r="Q27" s="4" t="s">
        <v>7</v>
      </c>
      <c r="R27" s="4">
        <f>_xlfn.STDEV.P(R22:R25)</f>
        <v>0</v>
      </c>
      <c r="S27" s="4">
        <f t="shared" ref="S27:V27" si="36">_xlfn.STDEV.P(S22:S25)</f>
        <v>8.2462112512353247</v>
      </c>
      <c r="T27" s="4">
        <f t="shared" si="36"/>
        <v>7.4833147735478827</v>
      </c>
      <c r="U27" s="4">
        <f t="shared" si="36"/>
        <v>0</v>
      </c>
      <c r="V27" s="4">
        <f t="shared" si="36"/>
        <v>0</v>
      </c>
      <c r="X27" s="4" t="s">
        <v>7</v>
      </c>
      <c r="Y27" s="4">
        <f t="shared" ref="Y27:AC27" si="37">_xlfn.STDEV.P(Y22:Y25)</f>
        <v>0</v>
      </c>
      <c r="Z27" s="4">
        <f t="shared" ref="Z27:AC27" si="38">_xlfn.STDEV.P(Z22:Z25)</f>
        <v>2.1650635094610968</v>
      </c>
      <c r="AA27" s="4">
        <f t="shared" si="38"/>
        <v>2.1650635094610968</v>
      </c>
      <c r="AB27" s="4">
        <f t="shared" si="38"/>
        <v>2.5</v>
      </c>
      <c r="AC27" s="4">
        <f t="shared" si="38"/>
        <v>0</v>
      </c>
    </row>
    <row r="28" spans="2:36" x14ac:dyDescent="0.2">
      <c r="B28" s="4" t="s">
        <v>53</v>
      </c>
      <c r="C28" s="4">
        <f>C27/SQRT(COUNT(C22:C25))</f>
        <v>0</v>
      </c>
      <c r="D28" s="4">
        <f t="shared" ref="D28:G28" si="39">D27/SQRT(COUNT(D22:D25))</f>
        <v>0</v>
      </c>
      <c r="E28" s="4">
        <f t="shared" si="39"/>
        <v>0.8660254037844386</v>
      </c>
      <c r="F28" s="4">
        <f t="shared" si="39"/>
        <v>1.6583123951776999</v>
      </c>
      <c r="G28" s="4">
        <f t="shared" si="39"/>
        <v>4.6904157598234413</v>
      </c>
      <c r="H28" s="41"/>
      <c r="I28" s="4" t="s">
        <v>53</v>
      </c>
      <c r="J28" s="4">
        <f>J27/SQRT(COUNT(J22:J25))</f>
        <v>0</v>
      </c>
      <c r="K28" s="4">
        <f t="shared" ref="K28:N28" si="40">K27/SQRT(COUNT(K22:K25))</f>
        <v>0</v>
      </c>
      <c r="L28" s="4">
        <f t="shared" si="40"/>
        <v>0</v>
      </c>
      <c r="M28" s="4">
        <f t="shared" si="40"/>
        <v>0</v>
      </c>
      <c r="N28" s="4">
        <f t="shared" si="40"/>
        <v>0</v>
      </c>
      <c r="Q28" s="4" t="s">
        <v>53</v>
      </c>
      <c r="R28" s="4">
        <f>R27/SQRT(COUNT(R22:R25))</f>
        <v>0</v>
      </c>
      <c r="S28" s="4">
        <f t="shared" ref="S28:V28" si="41">S27/SQRT(COUNT(S22:S25))</f>
        <v>4.1231056256176624</v>
      </c>
      <c r="T28" s="4">
        <f t="shared" si="41"/>
        <v>3.7416573867739413</v>
      </c>
      <c r="U28" s="4">
        <f t="shared" si="41"/>
        <v>0</v>
      </c>
      <c r="V28" s="4">
        <f t="shared" si="41"/>
        <v>0</v>
      </c>
      <c r="X28" s="4" t="s">
        <v>53</v>
      </c>
      <c r="Y28" s="4">
        <f>Y27/SQRT(COUNT(Y22:Y25))</f>
        <v>0</v>
      </c>
      <c r="Z28" s="4">
        <f t="shared" ref="Z28:AC28" si="42">Z27/SQRT(COUNT(Z22:Z25))</f>
        <v>1.0825317547305484</v>
      </c>
      <c r="AA28" s="4">
        <f t="shared" si="42"/>
        <v>1.0825317547305484</v>
      </c>
      <c r="AB28" s="4">
        <f t="shared" si="42"/>
        <v>1.25</v>
      </c>
      <c r="AC28" s="4">
        <f t="shared" si="42"/>
        <v>0</v>
      </c>
    </row>
    <row r="29" spans="2:36" s="10" customFormat="1" x14ac:dyDescent="0.2">
      <c r="B29" s="11" t="s">
        <v>0</v>
      </c>
      <c r="C29" s="11">
        <v>0</v>
      </c>
      <c r="D29" s="16">
        <f>1.25/250</f>
        <v>5.0000000000000001E-3</v>
      </c>
      <c r="E29" s="16">
        <f>6.25/250</f>
        <v>2.5000000000000001E-2</v>
      </c>
      <c r="F29" s="16">
        <f>31.25/250</f>
        <v>0.125</v>
      </c>
      <c r="G29" s="16">
        <f>156.25/250</f>
        <v>0.625</v>
      </c>
      <c r="H29" s="16"/>
      <c r="I29" s="11"/>
      <c r="J29" s="11"/>
      <c r="K29" s="11"/>
      <c r="L29" s="11"/>
      <c r="M29" s="11"/>
      <c r="N29" s="11"/>
      <c r="O29" s="11"/>
      <c r="P29" s="11"/>
      <c r="Q29" s="11" t="s">
        <v>0</v>
      </c>
      <c r="R29" s="11">
        <v>0</v>
      </c>
      <c r="S29" s="16">
        <f>1.25/250</f>
        <v>5.0000000000000001E-3</v>
      </c>
      <c r="T29" s="16">
        <f>6.25/250</f>
        <v>2.5000000000000001E-2</v>
      </c>
      <c r="U29" s="16">
        <f>31.25/250</f>
        <v>0.125</v>
      </c>
      <c r="V29" s="16">
        <f>156.25/250</f>
        <v>0.625</v>
      </c>
      <c r="W29" s="11"/>
      <c r="AC29" s="11"/>
      <c r="AD29" s="11"/>
      <c r="AE29" s="11"/>
      <c r="AF29" s="11"/>
      <c r="AG29" s="11"/>
      <c r="AH29" s="11"/>
      <c r="AI29" s="11"/>
      <c r="AJ29" s="11"/>
    </row>
    <row r="30" spans="2:36" x14ac:dyDescent="0.2">
      <c r="B30" s="40" t="s">
        <v>16</v>
      </c>
      <c r="D30" s="41"/>
      <c r="E30" s="41"/>
      <c r="F30" s="41"/>
      <c r="K30" s="1"/>
      <c r="L30" s="1"/>
      <c r="M30" s="1"/>
      <c r="Q30" s="40" t="s">
        <v>16</v>
      </c>
      <c r="S30" s="41"/>
      <c r="T30" s="41"/>
      <c r="U30" s="41"/>
      <c r="X30" s="1"/>
      <c r="Y30" s="1"/>
      <c r="Z30" s="1"/>
      <c r="AA30" s="1"/>
      <c r="AB30" s="1"/>
    </row>
    <row r="31" spans="2:36" x14ac:dyDescent="0.2">
      <c r="B31" s="4" t="s">
        <v>12</v>
      </c>
      <c r="C31" s="4">
        <v>0</v>
      </c>
      <c r="D31" s="4">
        <v>0</v>
      </c>
      <c r="E31" s="4">
        <v>0</v>
      </c>
      <c r="F31" s="4">
        <v>0</v>
      </c>
      <c r="G31" s="4">
        <v>5</v>
      </c>
      <c r="Q31" s="4" t="s">
        <v>17</v>
      </c>
      <c r="R31" s="4">
        <v>0</v>
      </c>
      <c r="S31" s="4">
        <v>5</v>
      </c>
      <c r="T31" s="4">
        <v>0</v>
      </c>
      <c r="U31" s="4">
        <v>100</v>
      </c>
      <c r="V31" s="4">
        <v>100</v>
      </c>
      <c r="X31" s="1"/>
      <c r="Y31" s="1"/>
      <c r="Z31" s="1"/>
      <c r="AA31" s="1"/>
      <c r="AB31" s="1"/>
    </row>
    <row r="32" spans="2:36" x14ac:dyDescent="0.2">
      <c r="C32" s="4">
        <v>0</v>
      </c>
      <c r="D32" s="4">
        <v>0</v>
      </c>
      <c r="E32" s="4">
        <v>0</v>
      </c>
      <c r="F32" s="4">
        <v>10</v>
      </c>
      <c r="G32" s="4">
        <v>5</v>
      </c>
      <c r="R32" s="4">
        <v>0</v>
      </c>
      <c r="S32" s="4">
        <v>5</v>
      </c>
      <c r="T32" s="4">
        <v>60</v>
      </c>
      <c r="U32" s="4">
        <f>14/20 *100</f>
        <v>70</v>
      </c>
      <c r="V32" s="4">
        <f>19/20 *100</f>
        <v>95</v>
      </c>
      <c r="X32" s="1"/>
      <c r="Y32" s="1"/>
      <c r="Z32" s="1"/>
      <c r="AA32" s="1"/>
      <c r="AB32" s="1"/>
    </row>
    <row r="33" spans="2:31" x14ac:dyDescent="0.2">
      <c r="C33" s="4">
        <v>0</v>
      </c>
      <c r="D33" s="4">
        <v>0</v>
      </c>
      <c r="E33" s="4">
        <v>0</v>
      </c>
      <c r="F33" s="4">
        <v>0</v>
      </c>
      <c r="G33" s="4">
        <v>10</v>
      </c>
      <c r="R33" s="4">
        <v>0</v>
      </c>
      <c r="S33" s="4">
        <v>5</v>
      </c>
      <c r="T33" s="4">
        <v>60</v>
      </c>
      <c r="U33" s="4">
        <v>60</v>
      </c>
      <c r="V33" s="4">
        <v>95</v>
      </c>
      <c r="X33" s="1"/>
      <c r="Y33" s="1"/>
      <c r="Z33" s="1"/>
      <c r="AA33" s="1"/>
      <c r="AB33" s="1"/>
    </row>
    <row r="34" spans="2:31" x14ac:dyDescent="0.2">
      <c r="X34" s="1"/>
      <c r="Y34" s="1"/>
      <c r="Z34" s="1"/>
      <c r="AA34" s="1"/>
      <c r="AB34" s="1"/>
    </row>
    <row r="35" spans="2:31" x14ac:dyDescent="0.2">
      <c r="B35" s="4" t="s">
        <v>18</v>
      </c>
      <c r="C35" s="4">
        <f>AVERAGE(C31:C33)</f>
        <v>0</v>
      </c>
      <c r="D35" s="4">
        <f t="shared" ref="D35:G35" si="43">AVERAGE(D31:D33)</f>
        <v>0</v>
      </c>
      <c r="E35" s="4">
        <f t="shared" si="43"/>
        <v>0</v>
      </c>
      <c r="F35" s="4">
        <f t="shared" si="43"/>
        <v>3.3333333333333335</v>
      </c>
      <c r="G35" s="4">
        <f t="shared" si="43"/>
        <v>6.666666666666667</v>
      </c>
      <c r="Q35" s="4" t="s">
        <v>18</v>
      </c>
      <c r="R35" s="4">
        <f>AVERAGE(R31:R33)</f>
        <v>0</v>
      </c>
      <c r="S35" s="4">
        <f t="shared" ref="S35:V35" si="44">AVERAGE(S31:S33)</f>
        <v>5</v>
      </c>
      <c r="T35" s="4">
        <f t="shared" si="44"/>
        <v>40</v>
      </c>
      <c r="U35" s="4">
        <f t="shared" si="44"/>
        <v>76.666666666666671</v>
      </c>
      <c r="V35" s="4">
        <f t="shared" si="44"/>
        <v>96.666666666666671</v>
      </c>
      <c r="X35" s="1"/>
      <c r="Y35" s="1"/>
      <c r="Z35" s="1"/>
      <c r="AA35" s="1"/>
      <c r="AB35" s="1"/>
    </row>
    <row r="36" spans="2:31" x14ac:dyDescent="0.2">
      <c r="B36" s="4" t="s">
        <v>8</v>
      </c>
      <c r="C36" s="4">
        <f>_xlfn.STDEV.P(C31:C33)</f>
        <v>0</v>
      </c>
      <c r="D36" s="4">
        <f t="shared" ref="D36:G36" si="45">_xlfn.STDEV.P(D31:D33)</f>
        <v>0</v>
      </c>
      <c r="E36" s="4">
        <f t="shared" si="45"/>
        <v>0</v>
      </c>
      <c r="F36" s="4">
        <f t="shared" si="45"/>
        <v>4.714045207910317</v>
      </c>
      <c r="G36" s="4">
        <f t="shared" si="45"/>
        <v>2.3570226039551585</v>
      </c>
      <c r="Q36" s="4" t="s">
        <v>8</v>
      </c>
      <c r="R36" s="4">
        <f>_xlfn.STDEV.P(R31:R33)</f>
        <v>0</v>
      </c>
      <c r="S36" s="4">
        <f t="shared" ref="S36:V36" si="46">_xlfn.STDEV.P(S31:S33)</f>
        <v>0</v>
      </c>
      <c r="T36" s="4">
        <f t="shared" si="46"/>
        <v>28.284271247461902</v>
      </c>
      <c r="U36" s="4">
        <f t="shared" si="46"/>
        <v>16.996731711975951</v>
      </c>
      <c r="V36" s="4">
        <f t="shared" si="46"/>
        <v>2.3570226039551581</v>
      </c>
      <c r="X36" s="1"/>
      <c r="Y36" s="1"/>
      <c r="Z36" s="1"/>
      <c r="AA36" s="1"/>
      <c r="AB36" s="1"/>
    </row>
    <row r="37" spans="2:31" x14ac:dyDescent="0.2">
      <c r="B37" s="4" t="s">
        <v>53</v>
      </c>
      <c r="C37" s="4">
        <f>C36/SQRT(COUNT(C31:C33))</f>
        <v>0</v>
      </c>
      <c r="D37" s="4">
        <f t="shared" ref="D37:G37" si="47">D36/SQRT(COUNT(D31:D33))</f>
        <v>0</v>
      </c>
      <c r="E37" s="4">
        <f t="shared" si="47"/>
        <v>0</v>
      </c>
      <c r="F37" s="4">
        <f t="shared" si="47"/>
        <v>2.7216552697590872</v>
      </c>
      <c r="G37" s="4">
        <f t="shared" si="47"/>
        <v>1.3608276348795436</v>
      </c>
      <c r="Q37" s="4" t="s">
        <v>53</v>
      </c>
      <c r="R37" s="4">
        <f>R36/SQRT(COUNT(R31:R33))</f>
        <v>0</v>
      </c>
      <c r="S37" s="4">
        <f t="shared" ref="S37:V37" si="48">S36/SQRT(COUNT(S31:S33))</f>
        <v>0</v>
      </c>
      <c r="T37" s="4">
        <f t="shared" si="48"/>
        <v>16.329931618554522</v>
      </c>
      <c r="U37" s="4">
        <f t="shared" si="48"/>
        <v>9.8130676292531653</v>
      </c>
      <c r="V37" s="4">
        <f t="shared" si="48"/>
        <v>1.3608276348795432</v>
      </c>
    </row>
    <row r="39" spans="2:31" x14ac:dyDescent="0.2">
      <c r="AA39" s="1"/>
      <c r="AB39" s="1"/>
      <c r="AC39" s="1"/>
      <c r="AD39" s="1"/>
      <c r="AE39"/>
    </row>
    <row r="40" spans="2:31" x14ac:dyDescent="0.2">
      <c r="AA40" s="1"/>
      <c r="AB40" s="1"/>
      <c r="AC40" s="1"/>
      <c r="AD40" s="1"/>
      <c r="AE40"/>
    </row>
    <row r="41" spans="2:31" x14ac:dyDescent="0.2">
      <c r="AA41" s="1"/>
      <c r="AB41" s="1"/>
      <c r="AC41" s="1"/>
      <c r="AD41" s="1"/>
      <c r="AE41"/>
    </row>
    <row r="42" spans="2:31" x14ac:dyDescent="0.2">
      <c r="AA42" s="1"/>
      <c r="AB42" s="1"/>
      <c r="AC42" s="1"/>
      <c r="AD42" s="1"/>
      <c r="AE42"/>
    </row>
    <row r="43" spans="2:31" x14ac:dyDescent="0.2">
      <c r="AA43" s="1"/>
      <c r="AB43" s="1"/>
      <c r="AC43" s="1"/>
      <c r="AD43" s="1"/>
      <c r="AE43"/>
    </row>
  </sheetData>
  <pageMargins left="0.7" right="0.7" top="0.75" bottom="0.75" header="0.3" footer="0.3"/>
  <ignoredErrors>
    <ignoredError sqref="F23:G23 M5" formula="1"/>
    <ignoredError sqref="C8:C10 R8:R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2229-7EA0-DC48-B80B-80B0C84C873F}">
  <dimension ref="A1:AP44"/>
  <sheetViews>
    <sheetView topLeftCell="A17" zoomScale="150" zoomScaleNormal="150" workbookViewId="0">
      <selection activeCell="B26" sqref="B26"/>
    </sheetView>
  </sheetViews>
  <sheetFormatPr baseColWidth="10" defaultRowHeight="16" x14ac:dyDescent="0.2"/>
  <cols>
    <col min="1" max="1" width="12.6640625" style="37" customWidth="1"/>
    <col min="2" max="2" width="13.83203125" style="38" customWidth="1"/>
    <col min="3" max="3" width="11.5" style="47" customWidth="1"/>
    <col min="4" max="4" width="12.1640625" style="47" customWidth="1"/>
    <col min="5" max="6" width="11.5" style="47" customWidth="1"/>
    <col min="7" max="7" width="11.33203125" style="47" customWidth="1"/>
    <col min="8" max="8" width="13.6640625" style="47" customWidth="1"/>
    <col min="9" max="10" width="10.5" style="47" customWidth="1"/>
    <col min="11" max="12" width="11" style="47" customWidth="1"/>
    <col min="13" max="13" width="11.6640625" style="47" customWidth="1"/>
    <col min="14" max="14" width="12" style="47" customWidth="1"/>
    <col min="15" max="15" width="11" style="47" customWidth="1"/>
    <col min="16" max="16" width="10.6640625" style="47" customWidth="1"/>
    <col min="17" max="17" width="12.5" style="47" customWidth="1"/>
    <col min="18" max="18" width="12.6640625" style="47" customWidth="1"/>
    <col min="19" max="19" width="12.33203125" style="47" customWidth="1"/>
    <col min="20" max="20" width="10.83203125" style="47" customWidth="1"/>
    <col min="21" max="21" width="10.6640625" style="47" customWidth="1"/>
    <col min="22" max="22" width="12.6640625" style="47" customWidth="1"/>
    <col min="23" max="23" width="13" style="47" customWidth="1"/>
    <col min="24" max="25" width="9" style="3" bestFit="1" customWidth="1"/>
    <col min="26" max="28" width="9.6640625" style="3" bestFit="1" customWidth="1"/>
    <col min="29" max="29" width="8.83203125" style="3"/>
    <col min="30" max="30" width="12.6640625" style="3" customWidth="1"/>
    <col min="31" max="35" width="11" style="3" bestFit="1" customWidth="1"/>
    <col min="36" max="42" width="10.83203125" style="2"/>
  </cols>
  <sheetData>
    <row r="1" spans="1:42" x14ac:dyDescent="0.2">
      <c r="A1" s="33"/>
      <c r="B1" s="34"/>
      <c r="C1" s="62" t="s">
        <v>30</v>
      </c>
      <c r="D1" s="62"/>
      <c r="E1" s="62"/>
      <c r="F1" s="62" t="s">
        <v>3</v>
      </c>
      <c r="G1" s="62"/>
      <c r="H1" s="62"/>
      <c r="I1" s="62" t="s">
        <v>10</v>
      </c>
      <c r="J1" s="62"/>
      <c r="K1" s="62"/>
      <c r="L1" s="63" t="s">
        <v>11</v>
      </c>
      <c r="M1" s="63"/>
      <c r="N1" s="63"/>
      <c r="O1" s="62" t="s">
        <v>14</v>
      </c>
      <c r="P1" s="62"/>
      <c r="Q1" s="62"/>
      <c r="R1" s="62" t="s">
        <v>15</v>
      </c>
      <c r="S1" s="62"/>
      <c r="T1" s="62"/>
      <c r="U1" s="61" t="s">
        <v>16</v>
      </c>
      <c r="V1" s="61"/>
      <c r="W1" s="61"/>
      <c r="X1" s="4"/>
      <c r="Y1" s="4"/>
      <c r="Z1" s="4"/>
      <c r="AA1" s="4"/>
      <c r="AB1" s="4"/>
      <c r="AC1" s="4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ht="51" x14ac:dyDescent="0.2">
      <c r="A2" s="35" t="s">
        <v>48</v>
      </c>
      <c r="B2" s="35" t="s">
        <v>49</v>
      </c>
      <c r="C2" s="42" t="s">
        <v>50</v>
      </c>
      <c r="D2" s="42" t="s">
        <v>52</v>
      </c>
      <c r="E2" s="42" t="s">
        <v>51</v>
      </c>
      <c r="F2" s="42" t="s">
        <v>50</v>
      </c>
      <c r="G2" s="42" t="s">
        <v>52</v>
      </c>
      <c r="H2" s="42" t="s">
        <v>51</v>
      </c>
      <c r="I2" s="42" t="s">
        <v>50</v>
      </c>
      <c r="J2" s="42" t="s">
        <v>52</v>
      </c>
      <c r="K2" s="42" t="s">
        <v>51</v>
      </c>
      <c r="L2" s="42" t="s">
        <v>50</v>
      </c>
      <c r="M2" s="42" t="s">
        <v>52</v>
      </c>
      <c r="N2" s="42" t="s">
        <v>51</v>
      </c>
      <c r="O2" s="42" t="s">
        <v>50</v>
      </c>
      <c r="P2" s="42" t="s">
        <v>52</v>
      </c>
      <c r="Q2" s="42" t="s">
        <v>51</v>
      </c>
      <c r="R2" s="42" t="s">
        <v>50</v>
      </c>
      <c r="S2" s="42" t="s">
        <v>52</v>
      </c>
      <c r="T2" s="42" t="s">
        <v>51</v>
      </c>
      <c r="U2" s="42" t="s">
        <v>50</v>
      </c>
      <c r="V2" s="42" t="s">
        <v>52</v>
      </c>
      <c r="W2" s="42" t="s">
        <v>51</v>
      </c>
      <c r="X2" s="4"/>
      <c r="Y2" s="4"/>
      <c r="Z2" s="4"/>
      <c r="AA2" s="4"/>
      <c r="AB2" s="4"/>
      <c r="AC2" s="4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x14ac:dyDescent="0.2">
      <c r="A3" s="36">
        <v>0</v>
      </c>
      <c r="B3" s="33">
        <v>1</v>
      </c>
      <c r="C3" s="43">
        <v>0</v>
      </c>
      <c r="D3" s="43">
        <v>0</v>
      </c>
      <c r="E3" s="43">
        <v>25</v>
      </c>
      <c r="F3" s="44">
        <v>0</v>
      </c>
      <c r="G3" s="43">
        <v>0</v>
      </c>
      <c r="H3" s="44">
        <v>25</v>
      </c>
      <c r="I3" s="44">
        <v>0</v>
      </c>
      <c r="J3" s="43">
        <v>0</v>
      </c>
      <c r="K3" s="44">
        <v>25</v>
      </c>
      <c r="L3" s="44">
        <v>0</v>
      </c>
      <c r="M3" s="43">
        <v>0</v>
      </c>
      <c r="N3" s="44">
        <v>25</v>
      </c>
      <c r="O3" s="44">
        <v>0</v>
      </c>
      <c r="P3" s="43">
        <v>0</v>
      </c>
      <c r="Q3" s="44">
        <v>25</v>
      </c>
      <c r="R3" s="44">
        <v>0</v>
      </c>
      <c r="S3" s="43">
        <v>0</v>
      </c>
      <c r="T3" s="44">
        <v>20</v>
      </c>
      <c r="U3" s="44">
        <v>0</v>
      </c>
      <c r="V3" s="43">
        <v>0</v>
      </c>
      <c r="W3" s="44">
        <v>20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x14ac:dyDescent="0.2">
      <c r="A4" s="36">
        <v>0</v>
      </c>
      <c r="B4" s="33">
        <v>2</v>
      </c>
      <c r="C4" s="43">
        <v>0</v>
      </c>
      <c r="D4" s="43">
        <v>1</v>
      </c>
      <c r="E4" s="43">
        <v>23</v>
      </c>
      <c r="F4" s="44">
        <v>0</v>
      </c>
      <c r="G4" s="43">
        <v>0</v>
      </c>
      <c r="H4" s="44">
        <v>25</v>
      </c>
      <c r="I4" s="44">
        <v>0</v>
      </c>
      <c r="J4" s="43">
        <v>0</v>
      </c>
      <c r="K4" s="44">
        <v>25</v>
      </c>
      <c r="L4" s="44">
        <v>0</v>
      </c>
      <c r="M4" s="43">
        <v>0</v>
      </c>
      <c r="N4" s="44">
        <v>25</v>
      </c>
      <c r="O4" s="44">
        <v>0</v>
      </c>
      <c r="P4" s="43">
        <v>0</v>
      </c>
      <c r="Q4" s="44">
        <v>25</v>
      </c>
      <c r="R4" s="44">
        <v>0</v>
      </c>
      <c r="S4" s="43">
        <v>0</v>
      </c>
      <c r="T4" s="44">
        <v>20</v>
      </c>
      <c r="U4" s="44">
        <v>0</v>
      </c>
      <c r="V4" s="43">
        <v>0</v>
      </c>
      <c r="W4" s="44">
        <v>20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">
      <c r="A5" s="36">
        <v>0</v>
      </c>
      <c r="B5" s="33">
        <v>3</v>
      </c>
      <c r="C5" s="43">
        <v>0</v>
      </c>
      <c r="D5" s="43">
        <v>1</v>
      </c>
      <c r="E5" s="43">
        <v>34</v>
      </c>
      <c r="F5" s="44">
        <v>0</v>
      </c>
      <c r="G5" s="43">
        <v>0</v>
      </c>
      <c r="H5" s="44">
        <v>25</v>
      </c>
      <c r="I5" s="44">
        <v>0</v>
      </c>
      <c r="J5" s="43">
        <v>0</v>
      </c>
      <c r="K5" s="44">
        <v>25</v>
      </c>
      <c r="L5" s="44">
        <v>0</v>
      </c>
      <c r="M5" s="43">
        <v>0</v>
      </c>
      <c r="N5" s="44">
        <v>25</v>
      </c>
      <c r="O5" s="44">
        <v>0</v>
      </c>
      <c r="P5" s="43">
        <v>0</v>
      </c>
      <c r="Q5" s="44">
        <v>25</v>
      </c>
      <c r="R5" s="44">
        <v>0</v>
      </c>
      <c r="S5" s="43">
        <v>0</v>
      </c>
      <c r="T5" s="44">
        <v>20</v>
      </c>
      <c r="U5" s="44">
        <v>0</v>
      </c>
      <c r="V5" s="43">
        <v>0</v>
      </c>
      <c r="W5" s="44">
        <v>20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x14ac:dyDescent="0.2">
      <c r="A6" s="36">
        <v>0</v>
      </c>
      <c r="B6" s="33">
        <v>4</v>
      </c>
      <c r="C6" s="43">
        <v>0</v>
      </c>
      <c r="D6" s="43">
        <v>0</v>
      </c>
      <c r="E6" s="43">
        <v>25</v>
      </c>
      <c r="F6" s="44">
        <v>0</v>
      </c>
      <c r="G6" s="43">
        <v>0</v>
      </c>
      <c r="H6" s="44">
        <v>25</v>
      </c>
      <c r="I6" s="44">
        <v>0</v>
      </c>
      <c r="J6" s="43">
        <v>0</v>
      </c>
      <c r="K6" s="44">
        <v>25</v>
      </c>
      <c r="L6" s="44">
        <v>0</v>
      </c>
      <c r="M6" s="43">
        <v>0</v>
      </c>
      <c r="N6" s="44">
        <v>25</v>
      </c>
      <c r="O6" s="44">
        <v>0</v>
      </c>
      <c r="P6" s="43">
        <v>0</v>
      </c>
      <c r="Q6" s="44">
        <v>25</v>
      </c>
      <c r="R6" s="44">
        <v>0</v>
      </c>
      <c r="S6" s="43">
        <v>0</v>
      </c>
      <c r="T6" s="44">
        <v>20</v>
      </c>
      <c r="U6" s="44"/>
      <c r="V6" s="43"/>
      <c r="W6" s="4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x14ac:dyDescent="0.2">
      <c r="A7" s="36">
        <v>5.0000000000000001E-3</v>
      </c>
      <c r="B7" s="33">
        <v>1</v>
      </c>
      <c r="C7" s="43">
        <v>20</v>
      </c>
      <c r="D7" s="43">
        <v>20</v>
      </c>
      <c r="E7" s="43">
        <v>30</v>
      </c>
      <c r="F7" s="44">
        <v>1</v>
      </c>
      <c r="G7" s="43">
        <v>2</v>
      </c>
      <c r="H7" s="44">
        <v>25</v>
      </c>
      <c r="I7" s="44">
        <v>0</v>
      </c>
      <c r="J7" s="43">
        <v>4</v>
      </c>
      <c r="K7" s="44">
        <v>25</v>
      </c>
      <c r="L7" s="44">
        <v>1</v>
      </c>
      <c r="M7" s="43">
        <v>2</v>
      </c>
      <c r="N7" s="44">
        <v>25</v>
      </c>
      <c r="O7" s="44">
        <v>0</v>
      </c>
      <c r="P7" s="43">
        <v>6</v>
      </c>
      <c r="Q7" s="44">
        <v>25</v>
      </c>
      <c r="R7" s="44">
        <v>0</v>
      </c>
      <c r="S7" s="43">
        <v>0</v>
      </c>
      <c r="T7" s="44">
        <v>20</v>
      </c>
      <c r="U7" s="44">
        <v>0</v>
      </c>
      <c r="V7" s="43">
        <v>0</v>
      </c>
      <c r="W7" s="44">
        <v>20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x14ac:dyDescent="0.2">
      <c r="A8" s="36">
        <v>5.0000000000000001E-3</v>
      </c>
      <c r="B8" s="33">
        <v>2</v>
      </c>
      <c r="C8" s="43">
        <v>18</v>
      </c>
      <c r="D8" s="43">
        <v>18</v>
      </c>
      <c r="E8" s="43">
        <v>30</v>
      </c>
      <c r="F8" s="44">
        <v>0</v>
      </c>
      <c r="G8" s="43">
        <v>0</v>
      </c>
      <c r="H8" s="44">
        <v>25</v>
      </c>
      <c r="I8" s="44">
        <v>0</v>
      </c>
      <c r="J8" s="43">
        <v>0</v>
      </c>
      <c r="K8" s="44">
        <v>25</v>
      </c>
      <c r="L8" s="44">
        <v>0</v>
      </c>
      <c r="M8" s="43">
        <v>0</v>
      </c>
      <c r="N8" s="44">
        <v>25</v>
      </c>
      <c r="O8" s="44">
        <v>0</v>
      </c>
      <c r="P8" s="43">
        <v>3</v>
      </c>
      <c r="Q8" s="44">
        <v>25</v>
      </c>
      <c r="R8" s="44">
        <v>0</v>
      </c>
      <c r="S8" s="43">
        <v>1</v>
      </c>
      <c r="T8" s="44">
        <v>20</v>
      </c>
      <c r="U8" s="44">
        <v>0</v>
      </c>
      <c r="V8" s="43">
        <v>1</v>
      </c>
      <c r="W8" s="44">
        <v>20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">
      <c r="A9" s="36">
        <v>5.0000000000000001E-3</v>
      </c>
      <c r="B9" s="33">
        <v>3</v>
      </c>
      <c r="C9" s="43">
        <v>16</v>
      </c>
      <c r="D9" s="43">
        <v>16</v>
      </c>
      <c r="E9" s="43">
        <v>30</v>
      </c>
      <c r="F9" s="44">
        <v>0</v>
      </c>
      <c r="G9" s="43">
        <v>0</v>
      </c>
      <c r="H9" s="44">
        <v>25</v>
      </c>
      <c r="I9" s="44">
        <v>0</v>
      </c>
      <c r="J9" s="43">
        <v>0</v>
      </c>
      <c r="K9" s="44">
        <v>25</v>
      </c>
      <c r="L9" s="44">
        <v>0</v>
      </c>
      <c r="M9" s="43">
        <v>0</v>
      </c>
      <c r="N9" s="44">
        <v>25</v>
      </c>
      <c r="O9" s="44">
        <v>0</v>
      </c>
      <c r="P9" s="43">
        <v>7</v>
      </c>
      <c r="Q9" s="44">
        <v>25</v>
      </c>
      <c r="R9" s="44">
        <v>0</v>
      </c>
      <c r="S9" s="43">
        <v>0</v>
      </c>
      <c r="T9" s="44">
        <v>20</v>
      </c>
      <c r="U9" s="44">
        <v>0</v>
      </c>
      <c r="V9" s="43">
        <v>1</v>
      </c>
      <c r="W9" s="44">
        <v>20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x14ac:dyDescent="0.2">
      <c r="A10" s="36">
        <v>5.0000000000000001E-3</v>
      </c>
      <c r="B10" s="33">
        <v>4</v>
      </c>
      <c r="C10" s="43">
        <v>20</v>
      </c>
      <c r="D10" s="43">
        <v>20</v>
      </c>
      <c r="E10" s="43">
        <v>30</v>
      </c>
      <c r="F10" s="44">
        <v>0</v>
      </c>
      <c r="G10" s="43">
        <v>3</v>
      </c>
      <c r="H10" s="44">
        <v>25</v>
      </c>
      <c r="I10" s="44">
        <v>0</v>
      </c>
      <c r="J10" s="43">
        <v>0</v>
      </c>
      <c r="K10" s="44">
        <v>25</v>
      </c>
      <c r="L10" s="44">
        <v>0</v>
      </c>
      <c r="M10" s="43">
        <v>0</v>
      </c>
      <c r="N10" s="44">
        <v>25</v>
      </c>
      <c r="O10" s="44">
        <v>0</v>
      </c>
      <c r="P10" s="43">
        <v>2</v>
      </c>
      <c r="Q10" s="44">
        <v>25</v>
      </c>
      <c r="R10" s="44">
        <v>0</v>
      </c>
      <c r="S10" s="43">
        <v>0</v>
      </c>
      <c r="T10" s="44">
        <v>20</v>
      </c>
      <c r="U10" s="44"/>
      <c r="V10" s="43"/>
      <c r="W10" s="44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">
      <c r="A11" s="36">
        <v>2.5000000000000001E-2</v>
      </c>
      <c r="B11" s="33">
        <v>1</v>
      </c>
      <c r="C11" s="43">
        <v>25</v>
      </c>
      <c r="D11" s="43">
        <v>25</v>
      </c>
      <c r="E11" s="43">
        <v>25</v>
      </c>
      <c r="F11" s="44">
        <v>1</v>
      </c>
      <c r="G11" s="43">
        <v>19</v>
      </c>
      <c r="H11" s="44">
        <v>25</v>
      </c>
      <c r="I11" s="44">
        <v>0</v>
      </c>
      <c r="J11" s="43">
        <v>21</v>
      </c>
      <c r="K11" s="44">
        <v>25</v>
      </c>
      <c r="L11" s="44">
        <v>0</v>
      </c>
      <c r="M11" s="43">
        <v>20</v>
      </c>
      <c r="N11" s="44">
        <v>25</v>
      </c>
      <c r="O11" s="44">
        <v>0</v>
      </c>
      <c r="P11" s="43">
        <v>25</v>
      </c>
      <c r="Q11" s="44">
        <v>25</v>
      </c>
      <c r="R11" s="44">
        <v>0</v>
      </c>
      <c r="S11" s="43">
        <v>10</v>
      </c>
      <c r="T11" s="44">
        <v>20</v>
      </c>
      <c r="U11" s="44">
        <v>0</v>
      </c>
      <c r="V11" s="43">
        <v>0</v>
      </c>
      <c r="W11" s="44">
        <v>20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x14ac:dyDescent="0.2">
      <c r="A12" s="36">
        <v>2.5000000000000001E-2</v>
      </c>
      <c r="B12" s="33">
        <v>2</v>
      </c>
      <c r="C12" s="43">
        <v>25</v>
      </c>
      <c r="D12" s="43">
        <v>25</v>
      </c>
      <c r="E12" s="43">
        <v>25</v>
      </c>
      <c r="F12" s="44">
        <v>0</v>
      </c>
      <c r="G12" s="43">
        <v>21</v>
      </c>
      <c r="H12" s="44">
        <v>25</v>
      </c>
      <c r="I12" s="44">
        <v>0</v>
      </c>
      <c r="J12" s="43">
        <v>5</v>
      </c>
      <c r="K12" s="44">
        <v>25</v>
      </c>
      <c r="L12" s="44">
        <v>0</v>
      </c>
      <c r="M12" s="43">
        <v>22</v>
      </c>
      <c r="N12" s="44">
        <v>25</v>
      </c>
      <c r="O12" s="44">
        <v>0</v>
      </c>
      <c r="P12" s="43">
        <v>24</v>
      </c>
      <c r="Q12" s="44">
        <v>25</v>
      </c>
      <c r="R12" s="44">
        <v>0</v>
      </c>
      <c r="S12" s="43">
        <v>9</v>
      </c>
      <c r="T12" s="44">
        <v>20</v>
      </c>
      <c r="U12" s="44">
        <v>0</v>
      </c>
      <c r="V12" s="43">
        <v>12</v>
      </c>
      <c r="W12" s="44">
        <v>20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">
      <c r="A13" s="36">
        <v>2.5000000000000001E-2</v>
      </c>
      <c r="B13" s="33">
        <v>3</v>
      </c>
      <c r="C13" s="43">
        <v>25</v>
      </c>
      <c r="D13" s="43">
        <v>25</v>
      </c>
      <c r="E13" s="43">
        <v>25</v>
      </c>
      <c r="F13" s="44">
        <v>1</v>
      </c>
      <c r="G13" s="43">
        <v>8</v>
      </c>
      <c r="H13" s="44">
        <v>25</v>
      </c>
      <c r="I13" s="44">
        <v>0</v>
      </c>
      <c r="J13" s="43">
        <v>0</v>
      </c>
      <c r="K13" s="44">
        <v>25</v>
      </c>
      <c r="L13" s="44">
        <v>0</v>
      </c>
      <c r="M13" s="43">
        <v>21</v>
      </c>
      <c r="N13" s="44">
        <v>25</v>
      </c>
      <c r="O13" s="44">
        <v>1</v>
      </c>
      <c r="P13" s="43">
        <v>20</v>
      </c>
      <c r="Q13" s="44">
        <v>25</v>
      </c>
      <c r="R13" s="44">
        <v>0</v>
      </c>
      <c r="S13" s="43">
        <v>10</v>
      </c>
      <c r="T13" s="44">
        <v>20</v>
      </c>
      <c r="U13" s="44">
        <v>0</v>
      </c>
      <c r="V13" s="43">
        <v>12</v>
      </c>
      <c r="W13" s="44">
        <v>20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x14ac:dyDescent="0.2">
      <c r="A14" s="36">
        <v>2.5000000000000001E-2</v>
      </c>
      <c r="B14" s="33">
        <v>4</v>
      </c>
      <c r="C14" s="43">
        <v>18</v>
      </c>
      <c r="D14" s="43">
        <v>18</v>
      </c>
      <c r="E14" s="43">
        <v>20</v>
      </c>
      <c r="F14" s="44">
        <v>0</v>
      </c>
      <c r="G14" s="43">
        <v>8</v>
      </c>
      <c r="H14" s="44">
        <v>25</v>
      </c>
      <c r="I14" s="44">
        <v>0</v>
      </c>
      <c r="J14" s="43">
        <v>0</v>
      </c>
      <c r="K14" s="44">
        <v>25</v>
      </c>
      <c r="L14" s="44">
        <v>0</v>
      </c>
      <c r="M14" s="43">
        <v>15</v>
      </c>
      <c r="N14" s="44">
        <v>25</v>
      </c>
      <c r="O14" s="44">
        <v>0</v>
      </c>
      <c r="P14" s="43">
        <v>23</v>
      </c>
      <c r="Q14" s="44">
        <v>25</v>
      </c>
      <c r="R14" s="44">
        <v>0</v>
      </c>
      <c r="S14" s="43">
        <v>10</v>
      </c>
      <c r="T14" s="44">
        <v>20</v>
      </c>
      <c r="U14" s="44"/>
      <c r="V14" s="43"/>
      <c r="W14" s="4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">
      <c r="A15" s="36">
        <v>0.125</v>
      </c>
      <c r="B15" s="33">
        <v>1</v>
      </c>
      <c r="C15" s="43">
        <v>25</v>
      </c>
      <c r="D15" s="43">
        <v>25</v>
      </c>
      <c r="E15" s="43">
        <v>25</v>
      </c>
      <c r="F15" s="44">
        <v>7</v>
      </c>
      <c r="G15" s="43">
        <v>25</v>
      </c>
      <c r="H15" s="44">
        <v>25</v>
      </c>
      <c r="I15" s="44">
        <v>0</v>
      </c>
      <c r="J15" s="43">
        <v>22</v>
      </c>
      <c r="K15" s="44">
        <v>25</v>
      </c>
      <c r="L15" s="44">
        <v>5</v>
      </c>
      <c r="M15" s="43">
        <v>25</v>
      </c>
      <c r="N15" s="44">
        <v>25</v>
      </c>
      <c r="O15" s="44">
        <v>10</v>
      </c>
      <c r="P15" s="43">
        <v>24</v>
      </c>
      <c r="Q15" s="44">
        <v>25</v>
      </c>
      <c r="R15" s="44">
        <v>0</v>
      </c>
      <c r="S15" s="43">
        <v>19</v>
      </c>
      <c r="T15" s="44">
        <v>20</v>
      </c>
      <c r="U15" s="44">
        <v>0</v>
      </c>
      <c r="V15" s="43">
        <v>20</v>
      </c>
      <c r="W15" s="44">
        <v>20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">
      <c r="A16" s="36">
        <v>0.125</v>
      </c>
      <c r="B16" s="33">
        <v>2</v>
      </c>
      <c r="C16" s="43">
        <v>25</v>
      </c>
      <c r="D16" s="43">
        <v>25</v>
      </c>
      <c r="E16" s="43">
        <v>25</v>
      </c>
      <c r="F16" s="44">
        <v>8</v>
      </c>
      <c r="G16" s="43">
        <v>25</v>
      </c>
      <c r="H16" s="44">
        <v>25</v>
      </c>
      <c r="I16" s="44">
        <v>0</v>
      </c>
      <c r="J16" s="43">
        <v>23</v>
      </c>
      <c r="K16" s="44">
        <v>25</v>
      </c>
      <c r="L16" s="44">
        <v>4</v>
      </c>
      <c r="M16" s="43">
        <v>25</v>
      </c>
      <c r="N16" s="44">
        <v>25</v>
      </c>
      <c r="O16" s="44">
        <v>8</v>
      </c>
      <c r="P16" s="43">
        <v>24</v>
      </c>
      <c r="Q16" s="44">
        <v>25</v>
      </c>
      <c r="R16" s="44">
        <v>0</v>
      </c>
      <c r="S16" s="43">
        <v>20</v>
      </c>
      <c r="T16" s="44">
        <v>20</v>
      </c>
      <c r="U16" s="44">
        <v>2</v>
      </c>
      <c r="V16" s="43">
        <v>13</v>
      </c>
      <c r="W16" s="44">
        <v>20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x14ac:dyDescent="0.2">
      <c r="A17" s="36">
        <v>0.125</v>
      </c>
      <c r="B17" s="33">
        <v>3</v>
      </c>
      <c r="C17" s="43">
        <v>25</v>
      </c>
      <c r="D17" s="43">
        <v>25</v>
      </c>
      <c r="E17" s="43">
        <v>25</v>
      </c>
      <c r="F17" s="44">
        <v>7</v>
      </c>
      <c r="G17" s="43">
        <v>25</v>
      </c>
      <c r="H17" s="44">
        <v>25</v>
      </c>
      <c r="I17" s="44">
        <v>1</v>
      </c>
      <c r="J17" s="43">
        <v>18</v>
      </c>
      <c r="K17" s="44">
        <v>25</v>
      </c>
      <c r="L17" s="44">
        <v>3</v>
      </c>
      <c r="M17" s="43">
        <v>25</v>
      </c>
      <c r="N17" s="44">
        <v>25</v>
      </c>
      <c r="O17" s="44">
        <v>10</v>
      </c>
      <c r="P17" s="43">
        <v>24</v>
      </c>
      <c r="Q17" s="44">
        <v>25</v>
      </c>
      <c r="R17" s="44">
        <v>0</v>
      </c>
      <c r="S17" s="43">
        <v>20</v>
      </c>
      <c r="T17" s="44">
        <v>20</v>
      </c>
      <c r="U17" s="44">
        <v>0</v>
      </c>
      <c r="V17" s="43">
        <v>12</v>
      </c>
      <c r="W17" s="44">
        <v>20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">
      <c r="A18" s="36">
        <v>0.125</v>
      </c>
      <c r="B18" s="33">
        <v>4</v>
      </c>
      <c r="C18" s="43">
        <v>20</v>
      </c>
      <c r="D18" s="43">
        <v>20</v>
      </c>
      <c r="E18" s="43">
        <v>20</v>
      </c>
      <c r="F18" s="44">
        <v>5</v>
      </c>
      <c r="G18" s="43">
        <v>25</v>
      </c>
      <c r="H18" s="44">
        <v>25</v>
      </c>
      <c r="I18" s="44">
        <v>0</v>
      </c>
      <c r="J18" s="43">
        <v>4</v>
      </c>
      <c r="K18" s="44">
        <v>25</v>
      </c>
      <c r="L18" s="44">
        <v>6</v>
      </c>
      <c r="M18" s="43">
        <v>25</v>
      </c>
      <c r="N18" s="44">
        <v>25</v>
      </c>
      <c r="O18" s="44">
        <v>9</v>
      </c>
      <c r="P18" s="43">
        <v>24</v>
      </c>
      <c r="Q18" s="44">
        <v>25</v>
      </c>
      <c r="R18" s="44">
        <v>0</v>
      </c>
      <c r="S18" s="43">
        <v>19</v>
      </c>
      <c r="T18" s="44">
        <v>20</v>
      </c>
      <c r="U18" s="44"/>
      <c r="V18" s="43"/>
      <c r="W18" s="4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x14ac:dyDescent="0.2">
      <c r="A19" s="36">
        <v>0.625</v>
      </c>
      <c r="B19" s="33">
        <v>1</v>
      </c>
      <c r="C19" s="43">
        <v>20</v>
      </c>
      <c r="D19" s="43">
        <v>20</v>
      </c>
      <c r="E19" s="43">
        <v>20</v>
      </c>
      <c r="F19" s="44">
        <v>8</v>
      </c>
      <c r="G19" s="43">
        <v>25</v>
      </c>
      <c r="H19" s="44">
        <v>25</v>
      </c>
      <c r="I19" s="44">
        <v>3</v>
      </c>
      <c r="J19" s="43">
        <v>22</v>
      </c>
      <c r="K19" s="44">
        <v>25</v>
      </c>
      <c r="L19" s="44">
        <v>16</v>
      </c>
      <c r="M19" s="43">
        <v>25</v>
      </c>
      <c r="N19" s="44">
        <v>25</v>
      </c>
      <c r="O19" s="44">
        <v>14</v>
      </c>
      <c r="P19" s="43">
        <v>25</v>
      </c>
      <c r="Q19" s="44">
        <v>25</v>
      </c>
      <c r="R19" s="44">
        <v>0</v>
      </c>
      <c r="S19" s="43">
        <v>20</v>
      </c>
      <c r="T19" s="44">
        <v>20</v>
      </c>
      <c r="U19" s="44">
        <v>1</v>
      </c>
      <c r="V19" s="43">
        <v>20</v>
      </c>
      <c r="W19" s="44">
        <v>20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x14ac:dyDescent="0.2">
      <c r="A20" s="36">
        <v>0.625</v>
      </c>
      <c r="B20" s="33">
        <v>2</v>
      </c>
      <c r="C20" s="43">
        <v>20</v>
      </c>
      <c r="D20" s="43">
        <v>20</v>
      </c>
      <c r="E20" s="43">
        <v>20</v>
      </c>
      <c r="F20" s="44">
        <v>14</v>
      </c>
      <c r="G20" s="43">
        <v>25</v>
      </c>
      <c r="H20" s="44">
        <v>25</v>
      </c>
      <c r="I20" s="44">
        <v>1</v>
      </c>
      <c r="J20" s="43">
        <v>23</v>
      </c>
      <c r="K20" s="44">
        <v>25</v>
      </c>
      <c r="L20" s="44">
        <v>13</v>
      </c>
      <c r="M20" s="43">
        <v>25</v>
      </c>
      <c r="N20" s="44">
        <v>25</v>
      </c>
      <c r="O20" s="44">
        <v>13</v>
      </c>
      <c r="P20" s="43">
        <v>25</v>
      </c>
      <c r="Q20" s="44">
        <v>25</v>
      </c>
      <c r="R20" s="44">
        <v>0</v>
      </c>
      <c r="S20" s="43">
        <v>20</v>
      </c>
      <c r="T20" s="44">
        <v>20</v>
      </c>
      <c r="U20" s="44">
        <v>1</v>
      </c>
      <c r="V20" s="43">
        <v>19</v>
      </c>
      <c r="W20" s="44">
        <v>20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x14ac:dyDescent="0.2">
      <c r="A21" s="36">
        <v>0.625</v>
      </c>
      <c r="B21" s="33">
        <v>3</v>
      </c>
      <c r="C21" s="43">
        <v>25</v>
      </c>
      <c r="D21" s="43">
        <v>25</v>
      </c>
      <c r="E21" s="43">
        <v>25</v>
      </c>
      <c r="F21" s="44">
        <v>16</v>
      </c>
      <c r="G21" s="43">
        <v>25</v>
      </c>
      <c r="H21" s="44">
        <v>25</v>
      </c>
      <c r="I21" s="44">
        <v>0</v>
      </c>
      <c r="J21" s="43">
        <v>23</v>
      </c>
      <c r="K21" s="44">
        <v>25</v>
      </c>
      <c r="L21" s="44">
        <v>12</v>
      </c>
      <c r="M21" s="43">
        <v>25</v>
      </c>
      <c r="N21" s="44">
        <v>25</v>
      </c>
      <c r="O21" s="44">
        <v>14</v>
      </c>
      <c r="P21" s="43">
        <v>25</v>
      </c>
      <c r="Q21" s="44">
        <v>25</v>
      </c>
      <c r="R21" s="44">
        <v>0</v>
      </c>
      <c r="S21" s="43">
        <v>20</v>
      </c>
      <c r="T21" s="44">
        <v>20</v>
      </c>
      <c r="U21" s="44">
        <v>2</v>
      </c>
      <c r="V21" s="43">
        <v>19</v>
      </c>
      <c r="W21" s="44">
        <v>20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x14ac:dyDescent="0.2">
      <c r="A22" s="36">
        <v>0.625</v>
      </c>
      <c r="B22" s="33">
        <v>4</v>
      </c>
      <c r="C22" s="43">
        <v>20</v>
      </c>
      <c r="D22" s="43">
        <v>20</v>
      </c>
      <c r="E22" s="43">
        <v>20</v>
      </c>
      <c r="F22" s="44">
        <v>10</v>
      </c>
      <c r="G22" s="43">
        <v>25</v>
      </c>
      <c r="H22" s="44">
        <v>25</v>
      </c>
      <c r="I22" s="44">
        <v>1</v>
      </c>
      <c r="J22" s="43">
        <v>20</v>
      </c>
      <c r="K22" s="44">
        <v>25</v>
      </c>
      <c r="L22" s="44">
        <v>5</v>
      </c>
      <c r="M22" s="43">
        <v>25</v>
      </c>
      <c r="N22" s="44">
        <v>25</v>
      </c>
      <c r="O22" s="44">
        <v>19</v>
      </c>
      <c r="P22" s="43">
        <v>25</v>
      </c>
      <c r="Q22" s="44">
        <v>25</v>
      </c>
      <c r="R22" s="44">
        <v>0</v>
      </c>
      <c r="S22" s="43">
        <v>20</v>
      </c>
      <c r="T22" s="44">
        <v>20</v>
      </c>
      <c r="U22" s="44"/>
      <c r="V22" s="43"/>
      <c r="W22" s="44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">
      <c r="A23" s="33"/>
      <c r="B23" s="3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x14ac:dyDescent="0.2">
      <c r="A24" s="29"/>
      <c r="B24" s="29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x14ac:dyDescent="0.2">
      <c r="A25"/>
      <c r="B25"/>
      <c r="C2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x14ac:dyDescent="0.2">
      <c r="A26" s="29"/>
      <c r="B26" s="29"/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x14ac:dyDescent="0.2">
      <c r="A27" s="29"/>
      <c r="B27" s="29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x14ac:dyDescent="0.2">
      <c r="A28" s="29"/>
      <c r="B28" s="29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x14ac:dyDescent="0.2">
      <c r="A29" s="29"/>
      <c r="B29" s="29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">
      <c r="A30" s="29"/>
      <c r="B30" s="2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x14ac:dyDescent="0.2">
      <c r="A31" s="29"/>
      <c r="B31" s="2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x14ac:dyDescent="0.2">
      <c r="A32" s="29"/>
      <c r="B32" s="2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x14ac:dyDescent="0.2">
      <c r="A33" s="29"/>
      <c r="B33" s="2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x14ac:dyDescent="0.2">
      <c r="A34" s="29"/>
      <c r="B34" s="2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x14ac:dyDescent="0.2">
      <c r="A35" s="29"/>
      <c r="B35" s="2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29"/>
      <c r="B36" s="2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x14ac:dyDescent="0.2">
      <c r="A37" s="29"/>
      <c r="B37" s="2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x14ac:dyDescent="0.2">
      <c r="A38" s="29"/>
      <c r="B38" s="29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x14ac:dyDescent="0.2">
      <c r="A39" s="29"/>
      <c r="B39" s="2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x14ac:dyDescent="0.2">
      <c r="A40" s="29"/>
      <c r="B40" s="2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x14ac:dyDescent="0.2">
      <c r="A41" s="29"/>
      <c r="B41" s="2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">
      <c r="A42" s="29"/>
      <c r="B42" s="2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x14ac:dyDescent="0.2">
      <c r="A43" s="29"/>
      <c r="B43" s="2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x14ac:dyDescent="0.2">
      <c r="AG44" s="9"/>
      <c r="AH44" s="9"/>
      <c r="AI44" s="9"/>
      <c r="AJ44"/>
      <c r="AK44"/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8564-27C9-1F4E-96CC-87567F5C6D69}">
  <dimension ref="A2:AK24"/>
  <sheetViews>
    <sheetView topLeftCell="X1" workbookViewId="0">
      <selection activeCell="AK4" sqref="AK4"/>
    </sheetView>
  </sheetViews>
  <sheetFormatPr baseColWidth="10" defaultRowHeight="16" x14ac:dyDescent="0.2"/>
  <cols>
    <col min="1" max="1" width="10.83203125" style="4"/>
    <col min="2" max="2" width="11.5" style="4" customWidth="1"/>
    <col min="3" max="3" width="10.83203125" style="4"/>
    <col min="4" max="4" width="13.83203125" style="4" customWidth="1"/>
    <col min="5" max="9" width="10.83203125" style="4"/>
    <col min="10" max="10" width="11.33203125" style="4" customWidth="1"/>
    <col min="11" max="36" width="10.83203125" style="4"/>
    <col min="37" max="37" width="10.83203125" style="1"/>
  </cols>
  <sheetData>
    <row r="2" spans="1:37" x14ac:dyDescent="0.2">
      <c r="B2" s="1"/>
      <c r="C2" s="4" t="s">
        <v>19</v>
      </c>
      <c r="J2" s="12" t="s">
        <v>20</v>
      </c>
      <c r="K2" s="12"/>
      <c r="L2" s="12"/>
      <c r="M2" s="12"/>
      <c r="N2" s="12"/>
      <c r="O2" s="12"/>
      <c r="P2" s="12"/>
      <c r="Q2" s="12" t="s">
        <v>21</v>
      </c>
      <c r="R2" s="12"/>
      <c r="S2" s="12"/>
      <c r="T2" s="12"/>
      <c r="U2" s="12"/>
      <c r="V2" s="12"/>
      <c r="W2" s="12"/>
      <c r="X2" s="12" t="s">
        <v>22</v>
      </c>
      <c r="Y2" s="12"/>
      <c r="Z2" s="12"/>
      <c r="AA2" s="12"/>
      <c r="AB2" s="12"/>
      <c r="AC2" s="12"/>
      <c r="AD2" s="12"/>
      <c r="AE2" s="12" t="s">
        <v>23</v>
      </c>
      <c r="AF2" s="12"/>
      <c r="AG2" s="12"/>
      <c r="AH2" s="12"/>
      <c r="AI2" s="12"/>
    </row>
    <row r="3" spans="1:37" s="17" customFormat="1" x14ac:dyDescent="0.2">
      <c r="A3" s="39" t="s">
        <v>35</v>
      </c>
      <c r="B3" s="39" t="s">
        <v>24</v>
      </c>
      <c r="C3" s="39" t="s">
        <v>25</v>
      </c>
      <c r="D3" s="39" t="s">
        <v>26</v>
      </c>
      <c r="E3" s="39" t="s">
        <v>27</v>
      </c>
      <c r="F3" s="39" t="s">
        <v>28</v>
      </c>
      <c r="G3" s="39" t="s">
        <v>29</v>
      </c>
      <c r="H3" s="39" t="s">
        <v>8</v>
      </c>
      <c r="I3" s="48" t="s">
        <v>53</v>
      </c>
      <c r="J3" s="48" t="s">
        <v>25</v>
      </c>
      <c r="K3" s="48" t="s">
        <v>26</v>
      </c>
      <c r="L3" s="48" t="s">
        <v>27</v>
      </c>
      <c r="M3" s="48" t="s">
        <v>28</v>
      </c>
      <c r="N3" s="48" t="s">
        <v>29</v>
      </c>
      <c r="O3" s="48" t="s">
        <v>8</v>
      </c>
      <c r="P3" s="48" t="s">
        <v>53</v>
      </c>
      <c r="Q3" s="49" t="s">
        <v>25</v>
      </c>
      <c r="R3" s="49" t="s">
        <v>26</v>
      </c>
      <c r="S3" s="49" t="s">
        <v>27</v>
      </c>
      <c r="T3" s="49" t="s">
        <v>28</v>
      </c>
      <c r="U3" s="49" t="s">
        <v>29</v>
      </c>
      <c r="V3" s="49" t="s">
        <v>8</v>
      </c>
      <c r="W3" s="48" t="s">
        <v>53</v>
      </c>
      <c r="X3" s="48" t="s">
        <v>25</v>
      </c>
      <c r="Y3" s="48" t="s">
        <v>26</v>
      </c>
      <c r="Z3" s="48" t="s">
        <v>27</v>
      </c>
      <c r="AA3" s="48" t="s">
        <v>28</v>
      </c>
      <c r="AB3" s="48" t="s">
        <v>29</v>
      </c>
      <c r="AC3" s="48" t="s">
        <v>8</v>
      </c>
      <c r="AD3" s="48" t="s">
        <v>53</v>
      </c>
      <c r="AE3" s="48" t="s">
        <v>25</v>
      </c>
      <c r="AF3" s="48" t="s">
        <v>26</v>
      </c>
      <c r="AG3" s="48" t="s">
        <v>27</v>
      </c>
      <c r="AH3" s="48" t="s">
        <v>28</v>
      </c>
      <c r="AI3" s="48" t="s">
        <v>29</v>
      </c>
      <c r="AJ3" s="48" t="s">
        <v>8</v>
      </c>
      <c r="AK3" s="50" t="s">
        <v>53</v>
      </c>
    </row>
    <row r="4" spans="1:37" x14ac:dyDescent="0.2">
      <c r="B4" s="4" t="s">
        <v>30</v>
      </c>
      <c r="C4" s="1">
        <v>0</v>
      </c>
      <c r="D4" s="1">
        <f>1/23 *100</f>
        <v>4.3478260869565215</v>
      </c>
      <c r="E4" s="1">
        <f>1/34 *100</f>
        <v>2.9411764705882351</v>
      </c>
      <c r="F4" s="1">
        <v>0</v>
      </c>
      <c r="G4" s="4">
        <f>(C4+D4+E4+F4)/4</f>
        <v>1.8222506393861893</v>
      </c>
      <c r="H4" s="4">
        <f>STDEV(C4:F4)</f>
        <v>2.1811098965578681</v>
      </c>
      <c r="I4" s="1">
        <f>H4/SQRT(COUNT(C4:F4))</f>
        <v>1.0905549482789341</v>
      </c>
      <c r="J4" s="1">
        <f>12/20 *100</f>
        <v>60</v>
      </c>
      <c r="K4" s="1">
        <f>13/26 *100</f>
        <v>50</v>
      </c>
      <c r="L4" s="1">
        <f>13/27 *100</f>
        <v>48.148148148148145</v>
      </c>
      <c r="M4" s="1">
        <f>13/20 *100</f>
        <v>65</v>
      </c>
      <c r="N4" s="4">
        <f>(J4+K4+L4+M4)/4</f>
        <v>55.787037037037038</v>
      </c>
      <c r="O4" s="4">
        <f>STDEV(J4:M4)</f>
        <v>8.0512972993808969</v>
      </c>
      <c r="P4" s="1">
        <f>O4/SQRT(COUNT(J4:M4))</f>
        <v>4.0256486496904484</v>
      </c>
      <c r="Q4" s="1">
        <f>25/26 *100</f>
        <v>96.15384615384616</v>
      </c>
      <c r="R4" s="1">
        <f>17/22 *100</f>
        <v>77.272727272727266</v>
      </c>
      <c r="S4" s="1">
        <f>17/19 *100</f>
        <v>89.473684210526315</v>
      </c>
      <c r="T4" s="1">
        <f>23/24 *100</f>
        <v>95.833333333333343</v>
      </c>
      <c r="U4" s="1">
        <f>(Q4+R4+S4+T4)/4</f>
        <v>89.683397742608264</v>
      </c>
      <c r="V4" s="1">
        <f>STDEV(Q4:T4)</f>
        <v>8.8271764396488006</v>
      </c>
      <c r="W4" s="1">
        <f>V4/SQRT(COUNT(Q4:T4))</f>
        <v>4.4135882198244003</v>
      </c>
      <c r="X4" s="1">
        <v>100</v>
      </c>
      <c r="Y4" s="1">
        <f>25/26 *100</f>
        <v>96.15384615384616</v>
      </c>
      <c r="Z4" s="1">
        <v>100</v>
      </c>
      <c r="AA4" s="4">
        <v>100</v>
      </c>
      <c r="AB4" s="4">
        <f t="shared" ref="AB4:AB9" si="0">(X4+Y4+Z4+AA4)/4</f>
        <v>99.038461538461547</v>
      </c>
      <c r="AC4" s="4">
        <f t="shared" ref="AC4:AC9" si="1">STDEV(X4:AA4)</f>
        <v>1.9230769230769196</v>
      </c>
      <c r="AD4" s="1">
        <f>AC4/SQRT(COUNT(X4:AA4))</f>
        <v>0.96153846153845979</v>
      </c>
      <c r="AE4" s="12">
        <v>100</v>
      </c>
      <c r="AF4" s="12">
        <f>Y4</f>
        <v>96.15384615384616</v>
      </c>
      <c r="AG4" s="12">
        <f>Z4</f>
        <v>100</v>
      </c>
      <c r="AH4" s="12">
        <v>100</v>
      </c>
      <c r="AI4" s="4">
        <f>(AE4+AF4+AG4+AH4)/4</f>
        <v>99.038461538461547</v>
      </c>
      <c r="AJ4" s="4">
        <f>STDEV(AE4:AH4)</f>
        <v>1.9230769230769196</v>
      </c>
      <c r="AK4" s="1">
        <f>AJ4/SQRT(COUNT(AE4:AH4))</f>
        <v>0.96153846153845979</v>
      </c>
    </row>
    <row r="5" spans="1:37" x14ac:dyDescent="0.2">
      <c r="B5" s="4" t="s">
        <v>31</v>
      </c>
      <c r="C5" s="1">
        <v>0</v>
      </c>
      <c r="D5" s="1">
        <f>1/25 *100</f>
        <v>4</v>
      </c>
      <c r="E5" s="1">
        <v>0</v>
      </c>
      <c r="F5" s="1">
        <v>0</v>
      </c>
      <c r="G5" s="4">
        <f t="shared" ref="G5:G9" si="2">(C5+D5+E5+F5)/4</f>
        <v>1</v>
      </c>
      <c r="H5" s="4">
        <f t="shared" ref="H5:H9" si="3">STDEV(C5:F5)</f>
        <v>2</v>
      </c>
      <c r="I5" s="1">
        <f t="shared" ref="I5:I10" si="4">H5/SQRT(COUNT(C5:F5))</f>
        <v>1</v>
      </c>
      <c r="J5" s="1">
        <f>12/25 *100</f>
        <v>48</v>
      </c>
      <c r="K5" s="1">
        <f>10/25 *100</f>
        <v>40</v>
      </c>
      <c r="L5" s="1">
        <f>13/25 *100</f>
        <v>52</v>
      </c>
      <c r="M5" s="1">
        <f>0</f>
        <v>0</v>
      </c>
      <c r="N5" s="1">
        <f>(J5+K5+L5)/3</f>
        <v>46.666666666666664</v>
      </c>
      <c r="O5" s="1">
        <f>STDEV(J5:L5)</f>
        <v>6.1101009266077995</v>
      </c>
      <c r="P5" s="1">
        <f t="shared" ref="P5:P10" si="5">O5/SQRT(COUNT(J5:M5))</f>
        <v>3.0550504633038997</v>
      </c>
      <c r="Q5" s="1">
        <f>18/25 *100</f>
        <v>72</v>
      </c>
      <c r="R5" s="1">
        <f>19/25 *100</f>
        <v>76</v>
      </c>
      <c r="S5" s="1">
        <f>15/20 *100</f>
        <v>75</v>
      </c>
      <c r="T5" s="1">
        <f>14/20 *100</f>
        <v>70</v>
      </c>
      <c r="U5" s="1">
        <f t="shared" ref="U5:U9" si="6">(Q5+R5+S5+T5)/4</f>
        <v>73.25</v>
      </c>
      <c r="V5" s="1">
        <f t="shared" ref="V5:V9" si="7">STDEV(Q5:T5)</f>
        <v>2.753785273643051</v>
      </c>
      <c r="W5" s="1">
        <f t="shared" ref="W5:W10" si="8">V5/SQRT(COUNT(Q5:T5))</f>
        <v>1.3768926368215255</v>
      </c>
      <c r="X5" s="1">
        <v>100</v>
      </c>
      <c r="Y5" s="1">
        <v>100</v>
      </c>
      <c r="Z5" s="1">
        <v>100</v>
      </c>
      <c r="AA5" s="4">
        <v>100</v>
      </c>
      <c r="AB5" s="4">
        <f t="shared" si="0"/>
        <v>100</v>
      </c>
      <c r="AC5" s="4">
        <f t="shared" si="1"/>
        <v>0</v>
      </c>
      <c r="AD5" s="1">
        <f t="shared" ref="AD5:AD10" si="9">AC5/SQRT(COUNT(X5:AA5))</f>
        <v>0</v>
      </c>
      <c r="AE5" s="12">
        <v>100</v>
      </c>
      <c r="AF5" s="12">
        <v>100</v>
      </c>
      <c r="AG5" s="12">
        <v>100</v>
      </c>
      <c r="AH5" s="12">
        <f>24/25 *100</f>
        <v>96</v>
      </c>
      <c r="AI5" s="4">
        <f t="shared" ref="AI5:AI9" si="10">(AE5+AF5+AG5+AH5)/4</f>
        <v>99</v>
      </c>
      <c r="AJ5" s="4">
        <f t="shared" ref="AJ5:AJ9" si="11">STDEV(AE5:AH5)</f>
        <v>2</v>
      </c>
      <c r="AK5" s="1">
        <f t="shared" ref="AK5:AK10" si="12">AJ5/SQRT(COUNT(AE5:AH5))</f>
        <v>1</v>
      </c>
    </row>
    <row r="6" spans="1:37" x14ac:dyDescent="0.2">
      <c r="B6" s="4" t="s">
        <v>32</v>
      </c>
      <c r="C6" s="1">
        <v>0</v>
      </c>
      <c r="D6" s="1">
        <v>0</v>
      </c>
      <c r="E6" s="1">
        <v>0</v>
      </c>
      <c r="F6" s="1">
        <v>0</v>
      </c>
      <c r="G6" s="4">
        <f t="shared" si="2"/>
        <v>0</v>
      </c>
      <c r="H6" s="4">
        <f t="shared" si="3"/>
        <v>0</v>
      </c>
      <c r="I6" s="1">
        <f t="shared" si="4"/>
        <v>0</v>
      </c>
      <c r="J6" s="1">
        <f>6/25 *100</f>
        <v>24</v>
      </c>
      <c r="K6" s="1">
        <f>4/25 *100</f>
        <v>16</v>
      </c>
      <c r="L6" s="1">
        <f>7/25 *100</f>
        <v>28.000000000000004</v>
      </c>
      <c r="M6" s="1">
        <f>9/25 *100</f>
        <v>36</v>
      </c>
      <c r="N6" s="4">
        <f t="shared" ref="N6:N9" si="13">(J6+K6+L6+M6)/4</f>
        <v>26</v>
      </c>
      <c r="O6" s="4">
        <f t="shared" ref="O6:O9" si="14">STDEV(J6:M6)</f>
        <v>8.3266639978645305</v>
      </c>
      <c r="P6" s="1">
        <f t="shared" si="5"/>
        <v>4.1633319989322652</v>
      </c>
      <c r="Q6" s="1">
        <f>10/25 *100</f>
        <v>40</v>
      </c>
      <c r="R6" s="1">
        <f>8/25 *100</f>
        <v>32</v>
      </c>
      <c r="S6" s="1">
        <f>10/25 *100</f>
        <v>40</v>
      </c>
      <c r="T6" s="1">
        <f>3/25 *100</f>
        <v>12</v>
      </c>
      <c r="U6" s="1">
        <f t="shared" si="6"/>
        <v>31</v>
      </c>
      <c r="V6" s="1">
        <f t="shared" si="7"/>
        <v>13.21615173439934</v>
      </c>
      <c r="W6" s="1">
        <f t="shared" si="8"/>
        <v>6.6080758671996698</v>
      </c>
      <c r="X6" s="1">
        <v>100</v>
      </c>
      <c r="Y6" s="1">
        <v>100</v>
      </c>
      <c r="Z6" s="1">
        <v>100</v>
      </c>
      <c r="AA6" s="4">
        <f>24/25 *100</f>
        <v>96</v>
      </c>
      <c r="AB6" s="4">
        <f t="shared" si="0"/>
        <v>99</v>
      </c>
      <c r="AC6" s="4">
        <f t="shared" si="1"/>
        <v>2</v>
      </c>
      <c r="AD6" s="1">
        <f t="shared" si="9"/>
        <v>1</v>
      </c>
      <c r="AE6" s="12">
        <v>100</v>
      </c>
      <c r="AF6" s="12">
        <v>100</v>
      </c>
      <c r="AG6" s="12">
        <v>100</v>
      </c>
      <c r="AH6" s="12">
        <v>100</v>
      </c>
      <c r="AI6" s="4">
        <f t="shared" si="10"/>
        <v>100</v>
      </c>
      <c r="AJ6" s="4">
        <f t="shared" si="11"/>
        <v>0</v>
      </c>
      <c r="AK6" s="1">
        <f t="shared" si="12"/>
        <v>0</v>
      </c>
    </row>
    <row r="7" spans="1:37" x14ac:dyDescent="0.2">
      <c r="B7" s="4" t="s">
        <v>33</v>
      </c>
      <c r="C7" s="1">
        <v>0</v>
      </c>
      <c r="D7" s="1">
        <v>0</v>
      </c>
      <c r="E7" s="1">
        <v>0</v>
      </c>
      <c r="F7" s="1">
        <v>0</v>
      </c>
      <c r="G7" s="4">
        <f t="shared" si="2"/>
        <v>0</v>
      </c>
      <c r="H7" s="4">
        <f t="shared" si="3"/>
        <v>0</v>
      </c>
      <c r="I7" s="1">
        <f t="shared" si="4"/>
        <v>0</v>
      </c>
      <c r="J7" s="1">
        <f>1/25 *100</f>
        <v>4</v>
      </c>
      <c r="K7" s="1">
        <v>0</v>
      </c>
      <c r="L7" s="1">
        <v>0</v>
      </c>
      <c r="M7" s="1">
        <v>0</v>
      </c>
      <c r="N7" s="4">
        <f t="shared" si="13"/>
        <v>1</v>
      </c>
      <c r="O7" s="4">
        <f t="shared" si="14"/>
        <v>2</v>
      </c>
      <c r="P7" s="1">
        <f t="shared" si="5"/>
        <v>1</v>
      </c>
      <c r="Q7" s="1">
        <f>8/25 *100</f>
        <v>32</v>
      </c>
      <c r="R7" s="1">
        <f>6/25 *100</f>
        <v>24</v>
      </c>
      <c r="S7" s="1">
        <f>8/25 *100</f>
        <v>32</v>
      </c>
      <c r="T7" s="1">
        <f>10/25 *100</f>
        <v>40</v>
      </c>
      <c r="U7" s="1">
        <f t="shared" si="6"/>
        <v>32</v>
      </c>
      <c r="V7" s="1">
        <f t="shared" si="7"/>
        <v>6.5319726474218083</v>
      </c>
      <c r="W7" s="1">
        <f t="shared" si="8"/>
        <v>3.2659863237109041</v>
      </c>
      <c r="X7" s="1">
        <v>100</v>
      </c>
      <c r="Y7" s="1">
        <v>100</v>
      </c>
      <c r="Z7" s="1">
        <v>100</v>
      </c>
      <c r="AA7" s="4">
        <f>24/25 *100</f>
        <v>96</v>
      </c>
      <c r="AB7" s="4">
        <f t="shared" si="0"/>
        <v>99</v>
      </c>
      <c r="AC7" s="4">
        <f t="shared" si="1"/>
        <v>2</v>
      </c>
      <c r="AD7" s="1">
        <f t="shared" si="9"/>
        <v>1</v>
      </c>
      <c r="AE7" s="12">
        <v>100</v>
      </c>
      <c r="AF7" s="12">
        <v>100</v>
      </c>
      <c r="AG7" s="12">
        <v>100</v>
      </c>
      <c r="AH7" s="12">
        <v>100</v>
      </c>
      <c r="AI7" s="4">
        <f t="shared" si="10"/>
        <v>100</v>
      </c>
      <c r="AJ7" s="4">
        <f t="shared" si="11"/>
        <v>0</v>
      </c>
      <c r="AK7" s="1">
        <f t="shared" si="12"/>
        <v>0</v>
      </c>
    </row>
    <row r="8" spans="1:37" x14ac:dyDescent="0.2">
      <c r="B8" s="4" t="s">
        <v>14</v>
      </c>
      <c r="C8" s="1">
        <v>0</v>
      </c>
      <c r="D8" s="1">
        <v>0</v>
      </c>
      <c r="E8" s="1">
        <v>0</v>
      </c>
      <c r="F8" s="1">
        <v>0</v>
      </c>
      <c r="G8" s="4">
        <f t="shared" si="2"/>
        <v>0</v>
      </c>
      <c r="H8" s="4">
        <f t="shared" si="3"/>
        <v>0</v>
      </c>
      <c r="I8" s="1">
        <f t="shared" si="4"/>
        <v>0</v>
      </c>
      <c r="J8" s="1">
        <f>12/30 *100</f>
        <v>40</v>
      </c>
      <c r="K8" s="1">
        <f>13/30 *100</f>
        <v>43.333333333333336</v>
      </c>
      <c r="L8" s="1">
        <f>14/30 *100</f>
        <v>46.666666666666664</v>
      </c>
      <c r="M8" s="1">
        <f>5/30 *100</f>
        <v>16.666666666666664</v>
      </c>
      <c r="N8" s="4">
        <f t="shared" si="13"/>
        <v>36.666666666666664</v>
      </c>
      <c r="O8" s="4">
        <f t="shared" si="14"/>
        <v>13.608276348795435</v>
      </c>
      <c r="P8" s="1">
        <f t="shared" si="5"/>
        <v>6.8041381743977176</v>
      </c>
      <c r="Q8" s="1">
        <f>20/30 *100</f>
        <v>66.666666666666657</v>
      </c>
      <c r="R8" s="1">
        <f>19/30 *100</f>
        <v>63.333333333333329</v>
      </c>
      <c r="S8" s="1">
        <f>19/30 *100</f>
        <v>63.333333333333329</v>
      </c>
      <c r="T8" s="1">
        <f>18/30 *100</f>
        <v>60</v>
      </c>
      <c r="U8" s="1">
        <f t="shared" si="6"/>
        <v>63.333333333333329</v>
      </c>
      <c r="V8" s="1">
        <f t="shared" si="7"/>
        <v>2.7216552697590828</v>
      </c>
      <c r="W8" s="1">
        <f t="shared" si="8"/>
        <v>1.3608276348795414</v>
      </c>
      <c r="X8" s="1">
        <v>100</v>
      </c>
      <c r="Y8" s="1">
        <v>100</v>
      </c>
      <c r="Z8" s="1">
        <v>100</v>
      </c>
      <c r="AA8" s="4">
        <v>100</v>
      </c>
      <c r="AB8" s="4">
        <f t="shared" si="0"/>
        <v>100</v>
      </c>
      <c r="AC8" s="4">
        <f t="shared" si="1"/>
        <v>0</v>
      </c>
      <c r="AD8" s="1">
        <f t="shared" si="9"/>
        <v>0</v>
      </c>
      <c r="AE8" s="12">
        <v>100</v>
      </c>
      <c r="AF8" s="12">
        <v>100</v>
      </c>
      <c r="AG8" s="12">
        <v>100</v>
      </c>
      <c r="AH8" s="12">
        <v>100</v>
      </c>
      <c r="AI8" s="4">
        <f t="shared" si="10"/>
        <v>100</v>
      </c>
      <c r="AJ8" s="4">
        <f t="shared" si="11"/>
        <v>0</v>
      </c>
      <c r="AK8" s="1">
        <f t="shared" si="12"/>
        <v>0</v>
      </c>
    </row>
    <row r="9" spans="1:37" x14ac:dyDescent="0.2">
      <c r="B9" s="4" t="s">
        <v>34</v>
      </c>
      <c r="C9" s="4">
        <v>0</v>
      </c>
      <c r="D9" s="4">
        <v>0</v>
      </c>
      <c r="E9" s="4">
        <v>0</v>
      </c>
      <c r="F9" s="14">
        <v>0</v>
      </c>
      <c r="G9" s="4">
        <f t="shared" si="2"/>
        <v>0</v>
      </c>
      <c r="H9" s="4">
        <f t="shared" si="3"/>
        <v>0</v>
      </c>
      <c r="I9" s="1">
        <f t="shared" si="4"/>
        <v>0</v>
      </c>
      <c r="J9" s="4">
        <f>1/25 *100</f>
        <v>4</v>
      </c>
      <c r="K9" s="4">
        <f>2/25 *100</f>
        <v>8</v>
      </c>
      <c r="L9" s="4">
        <f>1/25 *100</f>
        <v>4</v>
      </c>
      <c r="M9" s="4">
        <f>2/25 *100</f>
        <v>8</v>
      </c>
      <c r="N9" s="4">
        <f t="shared" si="13"/>
        <v>6</v>
      </c>
      <c r="O9" s="4">
        <f t="shared" si="14"/>
        <v>2.3094010767585029</v>
      </c>
      <c r="P9" s="1">
        <f t="shared" si="5"/>
        <v>1.1547005383792515</v>
      </c>
      <c r="Q9" s="1">
        <f>5/25 *100</f>
        <v>20</v>
      </c>
      <c r="R9" s="1">
        <f>8/25 *100</f>
        <v>32</v>
      </c>
      <c r="S9" s="1">
        <f>1/25 *100</f>
        <v>4</v>
      </c>
      <c r="T9" s="1">
        <f>1/25 *100</f>
        <v>4</v>
      </c>
      <c r="U9" s="1">
        <f t="shared" si="6"/>
        <v>15</v>
      </c>
      <c r="V9" s="1">
        <f t="shared" si="7"/>
        <v>13.613718571108091</v>
      </c>
      <c r="W9" s="1">
        <f t="shared" si="8"/>
        <v>6.8068592855540455</v>
      </c>
      <c r="X9" s="1">
        <v>100</v>
      </c>
      <c r="Y9" s="1">
        <v>100</v>
      </c>
      <c r="Z9" s="1">
        <f>24/25 *100</f>
        <v>96</v>
      </c>
      <c r="AA9" s="4">
        <f>24/25 *100</f>
        <v>96</v>
      </c>
      <c r="AB9" s="4">
        <f t="shared" si="0"/>
        <v>98</v>
      </c>
      <c r="AC9" s="4">
        <f t="shared" si="1"/>
        <v>2.3094010767585029</v>
      </c>
      <c r="AD9" s="1">
        <f t="shared" si="9"/>
        <v>1.1547005383792515</v>
      </c>
      <c r="AE9" s="12">
        <v>100</v>
      </c>
      <c r="AF9" s="12">
        <v>100</v>
      </c>
      <c r="AG9" s="12">
        <v>100</v>
      </c>
      <c r="AH9" s="12">
        <v>100</v>
      </c>
      <c r="AI9" s="4">
        <f t="shared" si="10"/>
        <v>100</v>
      </c>
      <c r="AJ9" s="4">
        <f t="shared" si="11"/>
        <v>0</v>
      </c>
      <c r="AK9" s="1">
        <f t="shared" si="12"/>
        <v>0</v>
      </c>
    </row>
    <row r="10" spans="1:37" x14ac:dyDescent="0.2">
      <c r="B10" s="4" t="s">
        <v>16</v>
      </c>
      <c r="C10" s="5">
        <v>0</v>
      </c>
      <c r="D10" s="5">
        <v>0</v>
      </c>
      <c r="E10" s="5">
        <v>0</v>
      </c>
      <c r="F10" s="5"/>
      <c r="G10" s="4">
        <f>(C10+D10+E10)/3</f>
        <v>0</v>
      </c>
      <c r="H10" s="4">
        <f>STDEV(C10:E10)</f>
        <v>0</v>
      </c>
      <c r="I10" s="1">
        <f t="shared" si="4"/>
        <v>0</v>
      </c>
      <c r="J10" s="4">
        <f>17/25 *100</f>
        <v>68</v>
      </c>
      <c r="K10" s="4">
        <f>14/25 *100</f>
        <v>56.000000000000007</v>
      </c>
      <c r="L10" s="4">
        <f>20/25 *100</f>
        <v>80</v>
      </c>
      <c r="N10" s="4">
        <f>(J10+K10+L10)/3</f>
        <v>68</v>
      </c>
      <c r="O10" s="4">
        <f>STDEV(J10:L10)</f>
        <v>12</v>
      </c>
      <c r="P10" s="1">
        <f t="shared" si="5"/>
        <v>6.9282032302755097</v>
      </c>
      <c r="Q10" s="13">
        <f>19/25 *100</f>
        <v>76</v>
      </c>
      <c r="R10" s="13">
        <f>18/25 *100</f>
        <v>72</v>
      </c>
      <c r="S10" s="13">
        <f>16/20 *100</f>
        <v>80</v>
      </c>
      <c r="T10" s="13"/>
      <c r="U10" s="1">
        <f>(Q10+R10+S10)/3</f>
        <v>76</v>
      </c>
      <c r="V10" s="1">
        <f>STDEV(Q10:S10)</f>
        <v>4</v>
      </c>
      <c r="W10" s="1">
        <f t="shared" si="8"/>
        <v>2.3094010767585034</v>
      </c>
      <c r="X10" s="12">
        <f>22/25 *100</f>
        <v>88</v>
      </c>
      <c r="Y10" s="12">
        <f>21/25 *100</f>
        <v>84</v>
      </c>
      <c r="Z10" s="12">
        <f>17/20 *100</f>
        <v>85</v>
      </c>
      <c r="AA10" s="12"/>
      <c r="AB10" s="4">
        <f>(X10+Y10+Z10)/3</f>
        <v>85.666666666666671</v>
      </c>
      <c r="AC10" s="4">
        <f>STDEV(X10:Z10)</f>
        <v>2.0816659994661326</v>
      </c>
      <c r="AD10" s="1">
        <f t="shared" si="9"/>
        <v>1.2018504251546631</v>
      </c>
      <c r="AE10" s="12">
        <v>100</v>
      </c>
      <c r="AF10" s="12">
        <v>100</v>
      </c>
      <c r="AG10" s="12">
        <v>100</v>
      </c>
      <c r="AH10" s="12"/>
      <c r="AI10" s="4">
        <f>(AE10+AF10+AG10)/3</f>
        <v>100</v>
      </c>
      <c r="AJ10" s="4">
        <f>STDEV(AE10:AG10)</f>
        <v>0</v>
      </c>
      <c r="AK10" s="1">
        <f t="shared" si="12"/>
        <v>0</v>
      </c>
    </row>
    <row r="11" spans="1:37" x14ac:dyDescent="0.2">
      <c r="I11" s="1"/>
      <c r="P11" s="1"/>
      <c r="W11" s="1"/>
      <c r="AD11" s="1"/>
    </row>
    <row r="12" spans="1:37" x14ac:dyDescent="0.2">
      <c r="I12" s="1"/>
      <c r="P12" s="1"/>
      <c r="W12" s="1"/>
      <c r="AD12" s="1"/>
    </row>
    <row r="13" spans="1:37" x14ac:dyDescent="0.2">
      <c r="A13" s="4" t="s">
        <v>5</v>
      </c>
      <c r="C13" s="4" t="s">
        <v>19</v>
      </c>
      <c r="I13" s="1"/>
      <c r="J13" s="12" t="s">
        <v>20</v>
      </c>
      <c r="K13" s="12"/>
      <c r="L13" s="12"/>
      <c r="M13" s="12"/>
      <c r="N13" s="12"/>
      <c r="O13" s="12"/>
      <c r="P13" s="1"/>
      <c r="Q13" s="12" t="s">
        <v>21</v>
      </c>
      <c r="R13" s="12"/>
      <c r="S13" s="12"/>
      <c r="T13" s="12"/>
      <c r="U13" s="12"/>
      <c r="V13" s="12"/>
      <c r="W13" s="1"/>
      <c r="X13" s="12" t="s">
        <v>22</v>
      </c>
      <c r="Y13" s="12"/>
      <c r="Z13" s="12"/>
      <c r="AA13" s="12"/>
      <c r="AB13" s="12"/>
      <c r="AC13" s="12"/>
      <c r="AD13" s="1"/>
      <c r="AE13" s="12" t="s">
        <v>23</v>
      </c>
      <c r="AF13" s="12"/>
      <c r="AG13" s="12"/>
      <c r="AH13" s="12"/>
      <c r="AI13" s="12"/>
    </row>
    <row r="14" spans="1:37" s="17" customFormat="1" x14ac:dyDescent="0.2">
      <c r="A14" s="39"/>
      <c r="B14" s="39" t="s">
        <v>24</v>
      </c>
      <c r="C14" s="39" t="s">
        <v>25</v>
      </c>
      <c r="D14" s="39" t="s">
        <v>26</v>
      </c>
      <c r="E14" s="39" t="s">
        <v>27</v>
      </c>
      <c r="F14" s="39" t="s">
        <v>28</v>
      </c>
      <c r="G14" s="39" t="s">
        <v>29</v>
      </c>
      <c r="H14" s="39" t="s">
        <v>8</v>
      </c>
      <c r="I14" s="50" t="s">
        <v>53</v>
      </c>
      <c r="J14" s="48" t="s">
        <v>25</v>
      </c>
      <c r="K14" s="48" t="s">
        <v>26</v>
      </c>
      <c r="L14" s="48" t="s">
        <v>27</v>
      </c>
      <c r="M14" s="48" t="s">
        <v>28</v>
      </c>
      <c r="N14" s="48" t="s">
        <v>29</v>
      </c>
      <c r="O14" s="48" t="s">
        <v>8</v>
      </c>
      <c r="P14" s="50" t="s">
        <v>53</v>
      </c>
      <c r="Q14" s="48" t="s">
        <v>25</v>
      </c>
      <c r="R14" s="48" t="s">
        <v>26</v>
      </c>
      <c r="S14" s="48" t="s">
        <v>27</v>
      </c>
      <c r="T14" s="48" t="s">
        <v>28</v>
      </c>
      <c r="U14" s="48" t="s">
        <v>29</v>
      </c>
      <c r="V14" s="48" t="s">
        <v>8</v>
      </c>
      <c r="W14" s="50" t="s">
        <v>53</v>
      </c>
      <c r="X14" s="48" t="s">
        <v>25</v>
      </c>
      <c r="Y14" s="48" t="s">
        <v>26</v>
      </c>
      <c r="Z14" s="48" t="s">
        <v>27</v>
      </c>
      <c r="AA14" s="48" t="s">
        <v>28</v>
      </c>
      <c r="AB14" s="48" t="s">
        <v>29</v>
      </c>
      <c r="AC14" s="48" t="s">
        <v>8</v>
      </c>
      <c r="AD14" s="50" t="s">
        <v>53</v>
      </c>
      <c r="AE14" s="48" t="s">
        <v>25</v>
      </c>
      <c r="AF14" s="48" t="s">
        <v>26</v>
      </c>
      <c r="AG14" s="48" t="s">
        <v>27</v>
      </c>
      <c r="AH14" s="48" t="s">
        <v>28</v>
      </c>
      <c r="AI14" s="48" t="s">
        <v>29</v>
      </c>
      <c r="AJ14" s="48" t="s">
        <v>8</v>
      </c>
      <c r="AK14" s="50" t="s">
        <v>53</v>
      </c>
    </row>
    <row r="15" spans="1:37" x14ac:dyDescent="0.2">
      <c r="B15" s="4" t="s">
        <v>30</v>
      </c>
      <c r="C15" s="4">
        <v>0</v>
      </c>
      <c r="D15" s="4">
        <f>1/23 *100</f>
        <v>4.3478260869565215</v>
      </c>
      <c r="E15" s="4">
        <f>1/34 *100</f>
        <v>2.9411764705882351</v>
      </c>
      <c r="F15" s="4">
        <v>0</v>
      </c>
      <c r="G15" s="4">
        <f>(C15+D15+E15+F15)/4</f>
        <v>1.8222506393861893</v>
      </c>
      <c r="H15" s="4">
        <f>STDEV(C15:F15)</f>
        <v>2.1811098965578681</v>
      </c>
      <c r="I15" s="1">
        <f>H15/SQRT(COUNT(C15:F15))</f>
        <v>1.0905549482789341</v>
      </c>
      <c r="J15" s="12">
        <v>100</v>
      </c>
      <c r="K15" s="12">
        <f>((100 - D15)/100) *100</f>
        <v>95.652173913043484</v>
      </c>
      <c r="L15" s="12">
        <f>((100-E15)/100) *100</f>
        <v>97.058823529411768</v>
      </c>
      <c r="M15" s="12">
        <v>100</v>
      </c>
      <c r="N15" s="4">
        <f>(J15+K15+L15+M15)/4</f>
        <v>98.177749360613817</v>
      </c>
      <c r="O15" s="4">
        <f>STDEV(J15:M15)</f>
        <v>2.1811098965578655</v>
      </c>
      <c r="P15" s="1">
        <f>O15/SQRT(COUNT(J15:M15))</f>
        <v>1.0905549482789327</v>
      </c>
      <c r="Q15" s="12">
        <v>100</v>
      </c>
      <c r="R15" s="12">
        <f>K15</f>
        <v>95.652173913043484</v>
      </c>
      <c r="S15" s="12">
        <f>L15</f>
        <v>97.058823529411768</v>
      </c>
      <c r="T15" s="12">
        <v>100</v>
      </c>
      <c r="U15" s="4">
        <f>(Q15+R15+S15+T15)/4</f>
        <v>98.177749360613817</v>
      </c>
      <c r="V15" s="4">
        <f>STDEV(Q15:T15)</f>
        <v>2.1811098965578655</v>
      </c>
      <c r="W15" s="1">
        <f>V15/SQRT(COUNT(Q15:T15))</f>
        <v>1.0905549482789327</v>
      </c>
      <c r="X15" s="12">
        <v>100</v>
      </c>
      <c r="Y15" s="12">
        <f>R15</f>
        <v>95.652173913043484</v>
      </c>
      <c r="Z15" s="12">
        <f>S15</f>
        <v>97.058823529411768</v>
      </c>
      <c r="AA15" s="12">
        <v>100</v>
      </c>
      <c r="AB15" s="4">
        <f t="shared" ref="AB15:AB20" si="15">(X15+Y15+Z15+AA15)/4</f>
        <v>98.177749360613817</v>
      </c>
      <c r="AC15" s="4">
        <f t="shared" ref="AC15:AC20" si="16">STDEV(X15:AA15)</f>
        <v>2.1811098965578655</v>
      </c>
      <c r="AD15" s="1">
        <f>AC15/SQRT(COUNT(X15:AA15))</f>
        <v>1.0905549482789327</v>
      </c>
      <c r="AE15" s="12">
        <v>100</v>
      </c>
      <c r="AF15" s="12">
        <f>Y15</f>
        <v>95.652173913043484</v>
      </c>
      <c r="AG15" s="12">
        <f>Z15</f>
        <v>97.058823529411768</v>
      </c>
      <c r="AH15" s="12">
        <v>100</v>
      </c>
      <c r="AI15" s="4">
        <f>(AE15+AF15+AG15+AH15)/4</f>
        <v>98.177749360613817</v>
      </c>
      <c r="AJ15" s="4">
        <f>STDEV(AE15:AH15)</f>
        <v>2.1811098965578655</v>
      </c>
      <c r="AK15" s="1">
        <f>AJ15/SQRT(COUNT(AE15:AH15))</f>
        <v>1.0905549482789327</v>
      </c>
    </row>
    <row r="16" spans="1:37" x14ac:dyDescent="0.2">
      <c r="B16" s="4" t="s">
        <v>31</v>
      </c>
      <c r="C16" s="4">
        <v>0</v>
      </c>
      <c r="D16" s="4">
        <v>0</v>
      </c>
      <c r="E16" s="4">
        <v>0</v>
      </c>
      <c r="F16" s="4">
        <v>0</v>
      </c>
      <c r="G16" s="4">
        <f t="shared" ref="G16:G20" si="17">(C16+D16+E16+F16)/4</f>
        <v>0</v>
      </c>
      <c r="H16" s="4">
        <f t="shared" ref="H16:H20" si="18">STDEV(C16:F16)</f>
        <v>0</v>
      </c>
      <c r="I16" s="1">
        <f t="shared" ref="I16:I21" si="19">H16/SQRT(COUNT(C16:F16))</f>
        <v>0</v>
      </c>
      <c r="J16" s="12">
        <v>100</v>
      </c>
      <c r="K16" s="12">
        <v>100</v>
      </c>
      <c r="L16" s="12">
        <f>(17/21)*100</f>
        <v>80.952380952380949</v>
      </c>
      <c r="M16" s="12">
        <f>(17/18)*100</f>
        <v>94.444444444444443</v>
      </c>
      <c r="N16" s="4">
        <f t="shared" ref="N16:N20" si="20">(J16+K16+L16+M16)/4</f>
        <v>93.849206349206355</v>
      </c>
      <c r="O16" s="4">
        <f t="shared" ref="O16:O20" si="21">STDEV(J16:M16)</f>
        <v>8.9878981372270843</v>
      </c>
      <c r="P16" s="1">
        <f t="shared" ref="P16:P21" si="22">O16/SQRT(COUNT(J16:M16))</f>
        <v>4.4939490686135422</v>
      </c>
      <c r="Q16" s="12">
        <v>100</v>
      </c>
      <c r="R16" s="12">
        <v>100</v>
      </c>
      <c r="S16" s="12">
        <f>(21/23) *100</f>
        <v>91.304347826086953</v>
      </c>
      <c r="T16" s="12">
        <f>(25/26) *100</f>
        <v>96.15384615384616</v>
      </c>
      <c r="U16" s="4">
        <f t="shared" ref="U16:U20" si="23">(Q16+R16+S16+T16)/4</f>
        <v>96.864548494983268</v>
      </c>
      <c r="V16" s="4">
        <f t="shared" ref="V16:V20" si="24">STDEV(Q16:T16)</f>
        <v>4.1264610170910441</v>
      </c>
      <c r="W16" s="1">
        <f t="shared" ref="W16:W21" si="25">V16/SQRT(COUNT(Q16:T16))</f>
        <v>2.063230508545522</v>
      </c>
      <c r="X16" s="12">
        <f>(25/26) *100</f>
        <v>96.15384615384616</v>
      </c>
      <c r="Y16" s="12">
        <f t="shared" ref="Y16" si="26">(25/26) *100</f>
        <v>96.15384615384616</v>
      </c>
      <c r="Z16" s="12">
        <v>100</v>
      </c>
      <c r="AA16" s="12">
        <v>100</v>
      </c>
      <c r="AB16" s="4">
        <f t="shared" si="15"/>
        <v>98.07692307692308</v>
      </c>
      <c r="AC16" s="4">
        <f t="shared" si="16"/>
        <v>2.2205779584216336</v>
      </c>
      <c r="AD16" s="1">
        <f t="shared" ref="AD16:AD21" si="27">AC16/SQRT(COUNT(X16:AA16))</f>
        <v>1.1102889792108168</v>
      </c>
      <c r="AE16" s="12">
        <f>33/36 *100</f>
        <v>91.666666666666657</v>
      </c>
      <c r="AF16" s="12"/>
      <c r="AG16" s="12">
        <f>26/28 *100</f>
        <v>92.857142857142861</v>
      </c>
      <c r="AH16" s="12">
        <f>24/25 *100</f>
        <v>96</v>
      </c>
      <c r="AI16" s="4">
        <f t="shared" ref="AI16:AI20" si="28">(AE16+AF16+AG16+AH16)/4</f>
        <v>70.13095238095238</v>
      </c>
      <c r="AJ16" s="4">
        <f t="shared" ref="AJ16:AJ20" si="29">STDEV(AE16:AH16)</f>
        <v>2.2387705836863803</v>
      </c>
      <c r="AK16" s="1">
        <f t="shared" ref="AK16:AK21" si="30">AJ16/SQRT(COUNT(AE16:AH16))</f>
        <v>1.2925547991451474</v>
      </c>
    </row>
    <row r="17" spans="1:37" x14ac:dyDescent="0.2">
      <c r="B17" s="4" t="s">
        <v>32</v>
      </c>
      <c r="C17" s="4">
        <v>0</v>
      </c>
      <c r="D17" s="4">
        <v>0</v>
      </c>
      <c r="E17" s="4">
        <v>0</v>
      </c>
      <c r="F17" s="4">
        <v>0</v>
      </c>
      <c r="G17" s="4">
        <f t="shared" si="17"/>
        <v>0</v>
      </c>
      <c r="H17" s="4">
        <f t="shared" si="18"/>
        <v>0</v>
      </c>
      <c r="I17" s="1">
        <f t="shared" si="19"/>
        <v>0</v>
      </c>
      <c r="J17" s="12">
        <v>80</v>
      </c>
      <c r="K17" s="12">
        <v>32</v>
      </c>
      <c r="L17" s="12">
        <v>76</v>
      </c>
      <c r="M17" s="12">
        <v>92</v>
      </c>
      <c r="N17" s="4">
        <f t="shared" si="20"/>
        <v>70</v>
      </c>
      <c r="O17" s="4">
        <f t="shared" si="21"/>
        <v>26.229754097208001</v>
      </c>
      <c r="P17" s="1">
        <f t="shared" si="22"/>
        <v>13.114877048604001</v>
      </c>
      <c r="Q17" s="12">
        <v>96</v>
      </c>
      <c r="R17" s="12">
        <v>76</v>
      </c>
      <c r="S17" s="12">
        <v>96</v>
      </c>
      <c r="T17" s="12">
        <v>60</v>
      </c>
      <c r="U17" s="4">
        <f t="shared" si="23"/>
        <v>82</v>
      </c>
      <c r="V17" s="4">
        <f t="shared" si="24"/>
        <v>17.435595774162696</v>
      </c>
      <c r="W17" s="1">
        <f t="shared" si="25"/>
        <v>8.717797887081348</v>
      </c>
      <c r="X17" s="12">
        <v>100</v>
      </c>
      <c r="Y17" s="12">
        <v>100</v>
      </c>
      <c r="Z17" s="12">
        <v>100</v>
      </c>
      <c r="AA17" s="12">
        <v>100</v>
      </c>
      <c r="AB17" s="4">
        <f t="shared" si="15"/>
        <v>100</v>
      </c>
      <c r="AC17" s="4">
        <f t="shared" si="16"/>
        <v>0</v>
      </c>
      <c r="AD17" s="1">
        <f t="shared" si="27"/>
        <v>0</v>
      </c>
      <c r="AE17" s="12">
        <v>100</v>
      </c>
      <c r="AF17" s="12">
        <v>100</v>
      </c>
      <c r="AG17" s="12">
        <v>100</v>
      </c>
      <c r="AH17" s="12">
        <v>100</v>
      </c>
      <c r="AI17" s="4">
        <f t="shared" si="28"/>
        <v>100</v>
      </c>
      <c r="AJ17" s="4">
        <f t="shared" si="29"/>
        <v>0</v>
      </c>
      <c r="AK17" s="1">
        <f t="shared" si="30"/>
        <v>0</v>
      </c>
    </row>
    <row r="18" spans="1:37" x14ac:dyDescent="0.2">
      <c r="B18" s="4" t="s">
        <v>33</v>
      </c>
      <c r="C18" s="4">
        <v>0</v>
      </c>
      <c r="D18" s="4">
        <v>0</v>
      </c>
      <c r="E18" s="4">
        <v>0</v>
      </c>
      <c r="F18" s="4">
        <v>0</v>
      </c>
      <c r="G18" s="4">
        <f t="shared" si="17"/>
        <v>0</v>
      </c>
      <c r="H18" s="4">
        <f t="shared" si="18"/>
        <v>0</v>
      </c>
      <c r="I18" s="1">
        <f t="shared" si="19"/>
        <v>0</v>
      </c>
      <c r="J18" s="12">
        <v>85</v>
      </c>
      <c r="K18" s="12">
        <v>71</v>
      </c>
      <c r="L18" s="12">
        <v>67</v>
      </c>
      <c r="M18" s="12">
        <v>92</v>
      </c>
      <c r="N18" s="4">
        <f t="shared" si="20"/>
        <v>78.75</v>
      </c>
      <c r="O18" s="4">
        <f t="shared" si="21"/>
        <v>11.729592206608606</v>
      </c>
      <c r="P18" s="1">
        <f t="shared" si="22"/>
        <v>5.864796103304303</v>
      </c>
      <c r="Q18" s="12">
        <v>100</v>
      </c>
      <c r="R18" s="12">
        <v>92</v>
      </c>
      <c r="S18" s="12">
        <v>88</v>
      </c>
      <c r="T18" s="12">
        <v>100</v>
      </c>
      <c r="U18" s="4">
        <f t="shared" si="23"/>
        <v>95</v>
      </c>
      <c r="V18" s="4">
        <f t="shared" si="24"/>
        <v>6</v>
      </c>
      <c r="W18" s="1">
        <f t="shared" si="25"/>
        <v>3</v>
      </c>
      <c r="X18" s="12">
        <v>100</v>
      </c>
      <c r="Y18" s="12">
        <v>100</v>
      </c>
      <c r="Z18" s="12">
        <v>100</v>
      </c>
      <c r="AA18" s="12">
        <v>100</v>
      </c>
      <c r="AB18" s="4">
        <f t="shared" si="15"/>
        <v>100</v>
      </c>
      <c r="AC18" s="4">
        <f t="shared" si="16"/>
        <v>0</v>
      </c>
      <c r="AD18" s="1">
        <f t="shared" si="27"/>
        <v>0</v>
      </c>
      <c r="AE18" s="12">
        <v>100</v>
      </c>
      <c r="AF18" s="12">
        <v>100</v>
      </c>
      <c r="AG18" s="12">
        <v>100</v>
      </c>
      <c r="AH18" s="12">
        <v>100</v>
      </c>
      <c r="AI18" s="4">
        <f t="shared" si="28"/>
        <v>100</v>
      </c>
      <c r="AJ18" s="4">
        <f t="shared" si="29"/>
        <v>0</v>
      </c>
      <c r="AK18" s="1">
        <f t="shared" si="30"/>
        <v>0</v>
      </c>
    </row>
    <row r="19" spans="1:37" x14ac:dyDescent="0.2">
      <c r="B19" s="4" t="s">
        <v>14</v>
      </c>
      <c r="C19" s="4">
        <v>0</v>
      </c>
      <c r="D19" s="4">
        <v>0</v>
      </c>
      <c r="E19" s="4">
        <v>0</v>
      </c>
      <c r="F19" s="4">
        <v>0</v>
      </c>
      <c r="G19" s="4">
        <f t="shared" si="17"/>
        <v>0</v>
      </c>
      <c r="H19" s="4">
        <f t="shared" si="18"/>
        <v>0</v>
      </c>
      <c r="I19" s="1">
        <f t="shared" si="19"/>
        <v>0</v>
      </c>
      <c r="J19" s="12">
        <v>93</v>
      </c>
      <c r="K19" s="12">
        <v>100</v>
      </c>
      <c r="L19" s="12">
        <v>97</v>
      </c>
      <c r="M19" s="12">
        <v>97</v>
      </c>
      <c r="N19" s="4">
        <f t="shared" si="20"/>
        <v>96.75</v>
      </c>
      <c r="O19" s="4">
        <f t="shared" si="21"/>
        <v>2.8722813232690143</v>
      </c>
      <c r="P19" s="1">
        <f t="shared" si="22"/>
        <v>1.4361406616345072</v>
      </c>
      <c r="Q19" s="12">
        <v>100</v>
      </c>
      <c r="R19" s="12">
        <v>90</v>
      </c>
      <c r="S19" s="12">
        <v>97</v>
      </c>
      <c r="T19" s="12">
        <v>97</v>
      </c>
      <c r="U19" s="4">
        <f t="shared" si="23"/>
        <v>96</v>
      </c>
      <c r="V19" s="4">
        <f t="shared" si="24"/>
        <v>4.2426406871192848</v>
      </c>
      <c r="W19" s="1">
        <f t="shared" si="25"/>
        <v>2.1213203435596424</v>
      </c>
      <c r="X19" s="12">
        <v>100</v>
      </c>
      <c r="Y19" s="12">
        <v>100</v>
      </c>
      <c r="Z19" s="12">
        <v>100</v>
      </c>
      <c r="AA19" s="12">
        <v>100</v>
      </c>
      <c r="AB19" s="4">
        <f t="shared" si="15"/>
        <v>100</v>
      </c>
      <c r="AC19" s="4">
        <f t="shared" si="16"/>
        <v>0</v>
      </c>
      <c r="AD19" s="1">
        <f t="shared" si="27"/>
        <v>0</v>
      </c>
      <c r="AE19" s="12">
        <v>100</v>
      </c>
      <c r="AF19" s="12">
        <v>100</v>
      </c>
      <c r="AG19" s="12">
        <v>100</v>
      </c>
      <c r="AH19" s="12">
        <v>100</v>
      </c>
      <c r="AI19" s="4">
        <f t="shared" si="28"/>
        <v>100</v>
      </c>
      <c r="AJ19" s="4">
        <f t="shared" si="29"/>
        <v>0</v>
      </c>
      <c r="AK19" s="1">
        <f t="shared" si="30"/>
        <v>0</v>
      </c>
    </row>
    <row r="20" spans="1:37" x14ac:dyDescent="0.2">
      <c r="B20" s="4" t="s">
        <v>34</v>
      </c>
      <c r="C20" s="4">
        <v>0</v>
      </c>
      <c r="D20" s="4">
        <v>0</v>
      </c>
      <c r="E20" s="4">
        <v>0</v>
      </c>
      <c r="F20" s="4">
        <v>0</v>
      </c>
      <c r="G20" s="4">
        <f t="shared" si="17"/>
        <v>0</v>
      </c>
      <c r="H20" s="4">
        <f t="shared" si="18"/>
        <v>0</v>
      </c>
      <c r="I20" s="1">
        <f t="shared" si="19"/>
        <v>0</v>
      </c>
      <c r="J20" s="12">
        <v>26</v>
      </c>
      <c r="K20" s="12">
        <v>90</v>
      </c>
      <c r="L20" s="12">
        <v>16</v>
      </c>
      <c r="M20" s="12">
        <v>83</v>
      </c>
      <c r="N20" s="4">
        <f t="shared" si="20"/>
        <v>53.75</v>
      </c>
      <c r="O20" s="4">
        <f t="shared" si="21"/>
        <v>38.143369891327993</v>
      </c>
      <c r="P20" s="1">
        <f t="shared" si="22"/>
        <v>19.071684945663996</v>
      </c>
      <c r="Q20" s="12">
        <v>88</v>
      </c>
      <c r="R20" s="12">
        <v>100</v>
      </c>
      <c r="S20" s="12">
        <v>88</v>
      </c>
      <c r="T20" s="12">
        <v>74</v>
      </c>
      <c r="U20" s="4">
        <f t="shared" si="23"/>
        <v>87.5</v>
      </c>
      <c r="V20" s="4">
        <f t="shared" si="24"/>
        <v>10.63014581273465</v>
      </c>
      <c r="W20" s="1">
        <f t="shared" si="25"/>
        <v>5.315072906367325</v>
      </c>
      <c r="X20" s="12">
        <v>100</v>
      </c>
      <c r="Y20" s="12">
        <v>100</v>
      </c>
      <c r="Z20" s="12">
        <v>100</v>
      </c>
      <c r="AA20" s="12">
        <v>100</v>
      </c>
      <c r="AB20" s="4">
        <f t="shared" si="15"/>
        <v>100</v>
      </c>
      <c r="AC20" s="4">
        <f t="shared" si="16"/>
        <v>0</v>
      </c>
      <c r="AD20" s="1">
        <f t="shared" si="27"/>
        <v>0</v>
      </c>
      <c r="AE20" s="12">
        <v>100</v>
      </c>
      <c r="AF20" s="12">
        <v>100</v>
      </c>
      <c r="AG20" s="12">
        <v>100</v>
      </c>
      <c r="AH20" s="12">
        <v>100</v>
      </c>
      <c r="AI20" s="4">
        <f t="shared" si="28"/>
        <v>100</v>
      </c>
      <c r="AJ20" s="4">
        <f t="shared" si="29"/>
        <v>0</v>
      </c>
      <c r="AK20" s="1">
        <f t="shared" si="30"/>
        <v>0</v>
      </c>
    </row>
    <row r="21" spans="1:37" x14ac:dyDescent="0.2">
      <c r="B21" s="4" t="s">
        <v>16</v>
      </c>
      <c r="C21" s="4">
        <v>0</v>
      </c>
      <c r="D21" s="4">
        <v>0</v>
      </c>
      <c r="E21" s="4">
        <v>0</v>
      </c>
      <c r="G21" s="4">
        <f>(C21+D21+E21)/3</f>
        <v>0</v>
      </c>
      <c r="H21" s="4">
        <f>STDEV(C21:E21)</f>
        <v>0</v>
      </c>
      <c r="I21" s="1">
        <f t="shared" si="19"/>
        <v>0</v>
      </c>
      <c r="J21" s="12">
        <f>21/25 *100</f>
        <v>84</v>
      </c>
      <c r="K21" s="12">
        <f>22/25 *100</f>
        <v>88</v>
      </c>
      <c r="L21" s="12">
        <f>22/25 *100</f>
        <v>88</v>
      </c>
      <c r="M21" s="12"/>
      <c r="N21" s="4">
        <f>(J21+K21+L21)/3</f>
        <v>86.666666666666671</v>
      </c>
      <c r="O21" s="4">
        <f>STDEV(J21:L21)</f>
        <v>2.3094010767585034</v>
      </c>
      <c r="P21" s="1">
        <f t="shared" si="22"/>
        <v>1.3333333333333335</v>
      </c>
      <c r="Q21" s="12">
        <v>100</v>
      </c>
      <c r="R21" s="12">
        <v>100</v>
      </c>
      <c r="S21" s="12">
        <v>100</v>
      </c>
      <c r="T21" s="12"/>
      <c r="U21" s="4">
        <f>(Q21+R21+S21)/3</f>
        <v>100</v>
      </c>
      <c r="V21" s="4">
        <f>STDEV(Q21:S21)</f>
        <v>0</v>
      </c>
      <c r="W21" s="1">
        <f t="shared" si="25"/>
        <v>0</v>
      </c>
      <c r="X21" s="12">
        <v>100</v>
      </c>
      <c r="Y21" s="12">
        <v>100</v>
      </c>
      <c r="Z21" s="12">
        <v>100</v>
      </c>
      <c r="AA21" s="12"/>
      <c r="AB21" s="4">
        <f>(X21+Y21+Z21)/3</f>
        <v>100</v>
      </c>
      <c r="AC21" s="4">
        <f>STDEV(X21:Z21)</f>
        <v>0</v>
      </c>
      <c r="AD21" s="1">
        <f t="shared" si="27"/>
        <v>0</v>
      </c>
      <c r="AE21" s="12">
        <v>100</v>
      </c>
      <c r="AF21" s="12">
        <v>100</v>
      </c>
      <c r="AG21" s="12">
        <v>100</v>
      </c>
      <c r="AH21" s="12"/>
      <c r="AI21" s="4">
        <f>(AE21+AF21+AG21)/3</f>
        <v>100</v>
      </c>
      <c r="AJ21" s="4">
        <f>STDEV(AE21:AG21)</f>
        <v>0</v>
      </c>
      <c r="AK21" s="1">
        <f t="shared" si="30"/>
        <v>0</v>
      </c>
    </row>
    <row r="22" spans="1:37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T22" s="64"/>
      <c r="U22" s="64"/>
      <c r="V22" s="64"/>
      <c r="W22" s="64"/>
      <c r="X22" s="64"/>
      <c r="Y22" s="64"/>
      <c r="Z22" s="64"/>
      <c r="AA22" s="64"/>
      <c r="AB22" s="64"/>
    </row>
    <row r="23" spans="1:37" x14ac:dyDescent="0.2">
      <c r="A23" s="1"/>
      <c r="B23" s="1"/>
    </row>
    <row r="24" spans="1:37" x14ac:dyDescent="0.2">
      <c r="A24"/>
      <c r="B24"/>
      <c r="C24"/>
      <c r="D24"/>
    </row>
  </sheetData>
  <mergeCells count="1">
    <mergeCell ref="T22:AB22"/>
  </mergeCells>
  <pageMargins left="0.7" right="0.7" top="0.75" bottom="0.75" header="0.3" footer="0.3"/>
  <ignoredErrors>
    <ignoredError sqref="N5:O5 R6:R7 J8 K9:L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A8BA-B88F-F64D-9ED4-3A2CB1E5E9F2}">
  <dimension ref="A1:AC65"/>
  <sheetViews>
    <sheetView zoomScale="150" zoomScaleNormal="150" workbookViewId="0">
      <pane ySplit="1" topLeftCell="A10" activePane="bottomLeft" state="frozen"/>
      <selection pane="bottomLeft" activeCell="B24" sqref="B24"/>
    </sheetView>
  </sheetViews>
  <sheetFormatPr baseColWidth="10" defaultRowHeight="16" x14ac:dyDescent="0.2"/>
  <cols>
    <col min="1" max="1" width="20.6640625" style="4" customWidth="1"/>
    <col min="2" max="2" width="11.5" style="4" customWidth="1"/>
    <col min="3" max="3" width="11.5" style="51" customWidth="1"/>
    <col min="4" max="4" width="11.33203125" style="51" customWidth="1"/>
    <col min="5" max="6" width="13.83203125" style="51" customWidth="1"/>
    <col min="7" max="7" width="8.83203125" style="51"/>
    <col min="8" max="9" width="13.33203125" style="51" customWidth="1"/>
    <col min="10" max="10" width="11.33203125" style="51" customWidth="1"/>
    <col min="11" max="12" width="12.33203125" style="51" customWidth="1"/>
    <col min="13" max="16" width="10.83203125" style="51"/>
    <col min="17" max="18" width="13" style="51" customWidth="1"/>
    <col min="19" max="19" width="10.83203125" style="51"/>
    <col min="20" max="21" width="13.6640625" style="51" customWidth="1"/>
    <col min="22" max="22" width="10.83203125" style="51"/>
    <col min="23" max="23" width="13.1640625" style="51" customWidth="1"/>
    <col min="24" max="29" width="10.83203125" style="4"/>
  </cols>
  <sheetData>
    <row r="1" spans="1:23" x14ac:dyDescent="0.2">
      <c r="A1" s="30"/>
      <c r="B1" s="31"/>
      <c r="C1" s="65" t="s">
        <v>30</v>
      </c>
      <c r="D1" s="65"/>
      <c r="E1" s="65"/>
      <c r="F1" s="65" t="s">
        <v>3</v>
      </c>
      <c r="G1" s="65"/>
      <c r="H1" s="65"/>
      <c r="I1" s="66" t="s">
        <v>10</v>
      </c>
      <c r="J1" s="66"/>
      <c r="K1" s="66"/>
      <c r="L1" s="65" t="s">
        <v>11</v>
      </c>
      <c r="M1" s="65"/>
      <c r="N1" s="65"/>
      <c r="O1" s="66" t="s">
        <v>14</v>
      </c>
      <c r="P1" s="66"/>
      <c r="Q1" s="66"/>
      <c r="R1" s="65" t="s">
        <v>15</v>
      </c>
      <c r="S1" s="65"/>
      <c r="T1" s="65"/>
      <c r="U1" s="65" t="s">
        <v>16</v>
      </c>
      <c r="V1" s="65"/>
      <c r="W1" s="65"/>
    </row>
    <row r="2" spans="1:23" ht="51" x14ac:dyDescent="0.2">
      <c r="A2" s="32" t="s">
        <v>48</v>
      </c>
      <c r="B2" s="32" t="s">
        <v>49</v>
      </c>
      <c r="C2" s="52" t="s">
        <v>50</v>
      </c>
      <c r="D2" s="52" t="s">
        <v>52</v>
      </c>
      <c r="E2" s="52" t="s">
        <v>51</v>
      </c>
      <c r="F2" s="52" t="s">
        <v>50</v>
      </c>
      <c r="G2" s="52" t="s">
        <v>52</v>
      </c>
      <c r="H2" s="52" t="s">
        <v>51</v>
      </c>
      <c r="I2" s="52" t="s">
        <v>50</v>
      </c>
      <c r="J2" s="52" t="s">
        <v>52</v>
      </c>
      <c r="K2" s="52" t="s">
        <v>51</v>
      </c>
      <c r="L2" s="52" t="s">
        <v>50</v>
      </c>
      <c r="M2" s="52" t="s">
        <v>52</v>
      </c>
      <c r="N2" s="52" t="s">
        <v>51</v>
      </c>
      <c r="O2" s="52" t="s">
        <v>50</v>
      </c>
      <c r="P2" s="52" t="s">
        <v>52</v>
      </c>
      <c r="Q2" s="52" t="s">
        <v>51</v>
      </c>
      <c r="R2" s="52" t="s">
        <v>50</v>
      </c>
      <c r="S2" s="52" t="s">
        <v>52</v>
      </c>
      <c r="T2" s="52" t="s">
        <v>51</v>
      </c>
      <c r="U2" s="52" t="s">
        <v>50</v>
      </c>
      <c r="V2" s="52" t="s">
        <v>52</v>
      </c>
      <c r="W2" s="52" t="s">
        <v>51</v>
      </c>
    </row>
    <row r="3" spans="1:23" ht="17" customHeight="1" x14ac:dyDescent="0.2">
      <c r="A3" s="30">
        <v>0</v>
      </c>
      <c r="B3" s="30">
        <v>1</v>
      </c>
      <c r="C3" s="53">
        <v>0</v>
      </c>
      <c r="D3" s="54">
        <v>0</v>
      </c>
      <c r="E3" s="53">
        <v>25</v>
      </c>
      <c r="F3" s="53">
        <v>0</v>
      </c>
      <c r="G3" s="54">
        <v>0</v>
      </c>
      <c r="H3" s="53">
        <v>25</v>
      </c>
      <c r="I3" s="53">
        <v>0</v>
      </c>
      <c r="J3" s="54">
        <v>0</v>
      </c>
      <c r="K3" s="53">
        <v>25</v>
      </c>
      <c r="L3" s="53">
        <v>0</v>
      </c>
      <c r="M3" s="54">
        <v>0</v>
      </c>
      <c r="N3" s="53">
        <v>25</v>
      </c>
      <c r="O3" s="53">
        <v>0</v>
      </c>
      <c r="P3" s="54">
        <v>0</v>
      </c>
      <c r="Q3" s="53">
        <v>30</v>
      </c>
      <c r="R3" s="53">
        <v>0</v>
      </c>
      <c r="S3" s="54">
        <v>0</v>
      </c>
      <c r="T3" s="53">
        <v>25</v>
      </c>
      <c r="U3" s="53">
        <v>0</v>
      </c>
      <c r="V3" s="53">
        <v>0</v>
      </c>
      <c r="W3" s="53">
        <v>25</v>
      </c>
    </row>
    <row r="4" spans="1:23" x14ac:dyDescent="0.2">
      <c r="A4" s="30">
        <v>0</v>
      </c>
      <c r="B4" s="30">
        <v>2</v>
      </c>
      <c r="C4" s="53">
        <v>1</v>
      </c>
      <c r="D4" s="54">
        <v>1</v>
      </c>
      <c r="E4" s="53">
        <v>23</v>
      </c>
      <c r="F4" s="53">
        <v>0</v>
      </c>
      <c r="G4" s="54">
        <v>0</v>
      </c>
      <c r="H4" s="53">
        <v>25</v>
      </c>
      <c r="I4" s="53">
        <v>0</v>
      </c>
      <c r="J4" s="54">
        <v>0</v>
      </c>
      <c r="K4" s="53">
        <v>25</v>
      </c>
      <c r="L4" s="53">
        <v>0</v>
      </c>
      <c r="M4" s="54">
        <v>1</v>
      </c>
      <c r="N4" s="53">
        <v>26</v>
      </c>
      <c r="O4" s="53">
        <v>0</v>
      </c>
      <c r="P4" s="54">
        <v>0</v>
      </c>
      <c r="Q4" s="53">
        <v>30</v>
      </c>
      <c r="R4" s="53">
        <v>0</v>
      </c>
      <c r="S4" s="54">
        <v>0</v>
      </c>
      <c r="T4" s="53">
        <v>25</v>
      </c>
      <c r="U4" s="53">
        <v>0</v>
      </c>
      <c r="V4" s="53">
        <v>0</v>
      </c>
      <c r="W4" s="53">
        <v>25</v>
      </c>
    </row>
    <row r="5" spans="1:23" x14ac:dyDescent="0.2">
      <c r="A5" s="30">
        <v>0</v>
      </c>
      <c r="B5" s="30">
        <v>3</v>
      </c>
      <c r="C5" s="53">
        <v>1</v>
      </c>
      <c r="D5" s="54">
        <v>1</v>
      </c>
      <c r="E5" s="53">
        <v>34</v>
      </c>
      <c r="F5" s="53">
        <v>0</v>
      </c>
      <c r="G5" s="54">
        <v>0</v>
      </c>
      <c r="H5" s="53">
        <v>25</v>
      </c>
      <c r="I5" s="53">
        <v>0</v>
      </c>
      <c r="J5" s="54">
        <v>0</v>
      </c>
      <c r="K5" s="53">
        <v>25</v>
      </c>
      <c r="L5" s="53">
        <v>0</v>
      </c>
      <c r="M5" s="54">
        <v>0</v>
      </c>
      <c r="N5" s="53">
        <v>25</v>
      </c>
      <c r="O5" s="53">
        <v>0</v>
      </c>
      <c r="P5" s="54">
        <v>0</v>
      </c>
      <c r="Q5" s="53">
        <v>30</v>
      </c>
      <c r="R5" s="53">
        <v>0</v>
      </c>
      <c r="S5" s="54">
        <v>0</v>
      </c>
      <c r="T5" s="53">
        <v>25</v>
      </c>
      <c r="U5" s="53">
        <v>0</v>
      </c>
      <c r="V5" s="53">
        <v>0</v>
      </c>
      <c r="W5" s="53">
        <v>25</v>
      </c>
    </row>
    <row r="6" spans="1:23" x14ac:dyDescent="0.2">
      <c r="A6" s="30">
        <v>0</v>
      </c>
      <c r="B6" s="30">
        <v>4</v>
      </c>
      <c r="C6" s="53">
        <v>0</v>
      </c>
      <c r="D6" s="54">
        <v>0</v>
      </c>
      <c r="E6" s="53">
        <v>25</v>
      </c>
      <c r="F6" s="53">
        <v>0</v>
      </c>
      <c r="G6" s="54">
        <v>0</v>
      </c>
      <c r="H6" s="53">
        <v>25</v>
      </c>
      <c r="I6" s="53">
        <v>0</v>
      </c>
      <c r="J6" s="54">
        <v>0</v>
      </c>
      <c r="K6" s="53">
        <v>25</v>
      </c>
      <c r="L6" s="53">
        <v>0</v>
      </c>
      <c r="M6" s="54">
        <v>0</v>
      </c>
      <c r="N6" s="53">
        <v>26</v>
      </c>
      <c r="O6" s="53">
        <v>0</v>
      </c>
      <c r="P6" s="54">
        <v>0</v>
      </c>
      <c r="Q6" s="53">
        <v>30</v>
      </c>
      <c r="R6" s="53">
        <v>0</v>
      </c>
      <c r="S6" s="54">
        <v>1</v>
      </c>
      <c r="T6" s="53">
        <v>26</v>
      </c>
      <c r="U6" s="53"/>
      <c r="V6" s="53"/>
      <c r="W6" s="53"/>
    </row>
    <row r="7" spans="1:23" x14ac:dyDescent="0.2">
      <c r="A7" s="30">
        <v>2</v>
      </c>
      <c r="B7" s="30">
        <v>1</v>
      </c>
      <c r="C7" s="53">
        <v>12</v>
      </c>
      <c r="D7" s="54">
        <v>20</v>
      </c>
      <c r="E7" s="53">
        <v>20</v>
      </c>
      <c r="F7" s="53">
        <v>12</v>
      </c>
      <c r="G7" s="54">
        <v>25</v>
      </c>
      <c r="H7" s="53">
        <v>25</v>
      </c>
      <c r="I7" s="53">
        <v>6</v>
      </c>
      <c r="J7" s="54">
        <v>20</v>
      </c>
      <c r="K7" s="53">
        <v>25</v>
      </c>
      <c r="L7" s="53">
        <v>1</v>
      </c>
      <c r="M7" s="54">
        <v>17</v>
      </c>
      <c r="N7" s="53">
        <v>25</v>
      </c>
      <c r="O7" s="53">
        <v>12</v>
      </c>
      <c r="P7" s="54">
        <v>28</v>
      </c>
      <c r="Q7" s="53">
        <v>30</v>
      </c>
      <c r="R7" s="53">
        <v>1</v>
      </c>
      <c r="S7" s="54">
        <v>6</v>
      </c>
      <c r="T7" s="53">
        <v>24</v>
      </c>
      <c r="U7" s="53">
        <v>17</v>
      </c>
      <c r="V7" s="53">
        <v>21</v>
      </c>
      <c r="W7" s="53">
        <v>25</v>
      </c>
    </row>
    <row r="8" spans="1:23" x14ac:dyDescent="0.2">
      <c r="A8" s="30">
        <v>2</v>
      </c>
      <c r="B8" s="30">
        <v>2</v>
      </c>
      <c r="C8" s="53">
        <v>13</v>
      </c>
      <c r="D8" s="54">
        <v>26</v>
      </c>
      <c r="E8" s="53">
        <v>26</v>
      </c>
      <c r="F8" s="53">
        <v>10</v>
      </c>
      <c r="G8" s="54">
        <v>25</v>
      </c>
      <c r="H8" s="53">
        <v>25</v>
      </c>
      <c r="I8" s="53">
        <v>4</v>
      </c>
      <c r="J8" s="54">
        <v>8</v>
      </c>
      <c r="K8" s="53">
        <v>25</v>
      </c>
      <c r="L8" s="53">
        <v>0</v>
      </c>
      <c r="M8" s="54">
        <v>17</v>
      </c>
      <c r="N8" s="53">
        <v>25</v>
      </c>
      <c r="O8" s="53">
        <v>13</v>
      </c>
      <c r="P8" s="54">
        <v>30</v>
      </c>
      <c r="Q8" s="53">
        <v>30</v>
      </c>
      <c r="R8" s="53">
        <v>2</v>
      </c>
      <c r="S8" s="54">
        <v>2</v>
      </c>
      <c r="T8" s="53">
        <v>23</v>
      </c>
      <c r="U8" s="53">
        <v>14</v>
      </c>
      <c r="V8" s="53">
        <v>22</v>
      </c>
      <c r="W8" s="53">
        <v>25</v>
      </c>
    </row>
    <row r="9" spans="1:23" x14ac:dyDescent="0.2">
      <c r="A9" s="30">
        <v>2</v>
      </c>
      <c r="B9" s="30">
        <v>3</v>
      </c>
      <c r="C9" s="53">
        <v>13</v>
      </c>
      <c r="D9" s="54">
        <v>27</v>
      </c>
      <c r="E9" s="53">
        <v>27</v>
      </c>
      <c r="F9" s="53">
        <v>13</v>
      </c>
      <c r="G9" s="54">
        <v>25</v>
      </c>
      <c r="H9" s="53">
        <v>25</v>
      </c>
      <c r="I9" s="53">
        <v>7</v>
      </c>
      <c r="J9" s="54">
        <v>19</v>
      </c>
      <c r="K9" s="53">
        <v>25</v>
      </c>
      <c r="L9" s="53">
        <v>0</v>
      </c>
      <c r="M9" s="54">
        <v>16</v>
      </c>
      <c r="N9" s="53">
        <v>25</v>
      </c>
      <c r="O9" s="53">
        <v>14</v>
      </c>
      <c r="P9" s="54">
        <v>29</v>
      </c>
      <c r="Q9" s="53">
        <v>30</v>
      </c>
      <c r="R9" s="53">
        <v>1</v>
      </c>
      <c r="S9" s="54">
        <v>3</v>
      </c>
      <c r="T9" s="53">
        <v>24</v>
      </c>
      <c r="U9" s="53">
        <v>20</v>
      </c>
      <c r="V9" s="53">
        <v>22</v>
      </c>
      <c r="W9" s="53">
        <v>25</v>
      </c>
    </row>
    <row r="10" spans="1:23" x14ac:dyDescent="0.2">
      <c r="A10" s="30">
        <v>2</v>
      </c>
      <c r="B10" s="30">
        <v>4</v>
      </c>
      <c r="C10" s="53">
        <v>13</v>
      </c>
      <c r="D10" s="54">
        <v>20</v>
      </c>
      <c r="E10" s="53">
        <v>20</v>
      </c>
      <c r="F10" s="53">
        <v>0</v>
      </c>
      <c r="G10" s="54">
        <v>25</v>
      </c>
      <c r="H10" s="53">
        <v>25</v>
      </c>
      <c r="I10" s="53">
        <v>9</v>
      </c>
      <c r="J10" s="54">
        <v>23</v>
      </c>
      <c r="K10" s="53">
        <v>25</v>
      </c>
      <c r="L10" s="53">
        <v>0</v>
      </c>
      <c r="M10" s="54">
        <v>24</v>
      </c>
      <c r="N10" s="53">
        <v>26</v>
      </c>
      <c r="O10" s="53">
        <v>5</v>
      </c>
      <c r="P10" s="54">
        <v>30</v>
      </c>
      <c r="Q10" s="53">
        <v>30</v>
      </c>
      <c r="R10" s="53">
        <v>2</v>
      </c>
      <c r="S10" s="54">
        <v>20</v>
      </c>
      <c r="T10" s="53">
        <v>24</v>
      </c>
      <c r="U10" s="53"/>
      <c r="V10" s="53"/>
      <c r="W10" s="53"/>
    </row>
    <row r="11" spans="1:23" x14ac:dyDescent="0.2">
      <c r="A11" s="30">
        <v>4</v>
      </c>
      <c r="B11" s="30">
        <v>1</v>
      </c>
      <c r="C11" s="53">
        <v>25</v>
      </c>
      <c r="D11" s="54">
        <v>26</v>
      </c>
      <c r="E11" s="53">
        <v>26</v>
      </c>
      <c r="F11" s="53">
        <v>18</v>
      </c>
      <c r="G11" s="54">
        <v>25</v>
      </c>
      <c r="H11" s="53">
        <v>25</v>
      </c>
      <c r="I11" s="53">
        <v>10</v>
      </c>
      <c r="J11" s="54">
        <v>24</v>
      </c>
      <c r="K11" s="53">
        <v>25</v>
      </c>
      <c r="L11" s="53">
        <v>8</v>
      </c>
      <c r="M11" s="54">
        <v>25</v>
      </c>
      <c r="N11" s="53">
        <v>25</v>
      </c>
      <c r="O11" s="53">
        <v>20</v>
      </c>
      <c r="P11" s="54">
        <v>30</v>
      </c>
      <c r="Q11" s="53">
        <v>30</v>
      </c>
      <c r="R11" s="53">
        <v>5</v>
      </c>
      <c r="S11" s="54">
        <v>22</v>
      </c>
      <c r="T11" s="53">
        <v>25</v>
      </c>
      <c r="U11" s="53">
        <v>19</v>
      </c>
      <c r="V11" s="53">
        <v>25</v>
      </c>
      <c r="W11" s="53">
        <v>25</v>
      </c>
    </row>
    <row r="12" spans="1:23" x14ac:dyDescent="0.2">
      <c r="A12" s="30">
        <v>4</v>
      </c>
      <c r="B12" s="30">
        <v>2</v>
      </c>
      <c r="C12" s="53">
        <v>17</v>
      </c>
      <c r="D12" s="54">
        <v>22</v>
      </c>
      <c r="E12" s="53">
        <v>22</v>
      </c>
      <c r="F12" s="53">
        <v>19</v>
      </c>
      <c r="G12" s="54">
        <v>25</v>
      </c>
      <c r="H12" s="53">
        <v>25</v>
      </c>
      <c r="I12" s="53">
        <v>8</v>
      </c>
      <c r="J12" s="54">
        <v>19</v>
      </c>
      <c r="K12" s="53">
        <v>25</v>
      </c>
      <c r="L12" s="53">
        <v>6</v>
      </c>
      <c r="M12" s="54">
        <v>23</v>
      </c>
      <c r="N12" s="53">
        <v>25</v>
      </c>
      <c r="O12" s="53">
        <v>19</v>
      </c>
      <c r="P12" s="54">
        <v>27</v>
      </c>
      <c r="Q12" s="53">
        <v>30</v>
      </c>
      <c r="R12" s="53">
        <v>8</v>
      </c>
      <c r="S12" s="54">
        <v>25</v>
      </c>
      <c r="T12" s="53">
        <v>25</v>
      </c>
      <c r="U12" s="53">
        <v>18</v>
      </c>
      <c r="V12" s="53">
        <v>25</v>
      </c>
      <c r="W12" s="53">
        <v>25</v>
      </c>
    </row>
    <row r="13" spans="1:23" x14ac:dyDescent="0.2">
      <c r="A13" s="30">
        <v>4</v>
      </c>
      <c r="B13" s="30">
        <v>3</v>
      </c>
      <c r="C13" s="53">
        <v>17</v>
      </c>
      <c r="D13" s="54">
        <v>19</v>
      </c>
      <c r="E13" s="53">
        <v>19</v>
      </c>
      <c r="F13" s="53">
        <v>15</v>
      </c>
      <c r="G13" s="54">
        <v>25</v>
      </c>
      <c r="H13" s="53">
        <v>25</v>
      </c>
      <c r="I13" s="53">
        <v>10</v>
      </c>
      <c r="J13" s="54">
        <v>24</v>
      </c>
      <c r="K13" s="53">
        <v>25</v>
      </c>
      <c r="L13" s="53">
        <v>8</v>
      </c>
      <c r="M13" s="54">
        <v>22</v>
      </c>
      <c r="N13" s="53">
        <v>25</v>
      </c>
      <c r="O13" s="53">
        <v>19</v>
      </c>
      <c r="P13" s="54">
        <v>29</v>
      </c>
      <c r="Q13" s="53">
        <v>30</v>
      </c>
      <c r="R13" s="53">
        <v>1</v>
      </c>
      <c r="S13" s="54">
        <v>22</v>
      </c>
      <c r="T13" s="53">
        <v>25</v>
      </c>
      <c r="U13" s="53">
        <v>16</v>
      </c>
      <c r="V13" s="53">
        <v>20</v>
      </c>
      <c r="W13" s="53">
        <v>20</v>
      </c>
    </row>
    <row r="14" spans="1:23" x14ac:dyDescent="0.2">
      <c r="A14" s="30">
        <v>4</v>
      </c>
      <c r="B14" s="30">
        <v>4</v>
      </c>
      <c r="C14" s="53">
        <v>23</v>
      </c>
      <c r="D14" s="54">
        <v>24</v>
      </c>
      <c r="E14" s="53">
        <v>24</v>
      </c>
      <c r="F14" s="53">
        <v>14</v>
      </c>
      <c r="G14" s="54">
        <v>25</v>
      </c>
      <c r="H14" s="53">
        <v>25</v>
      </c>
      <c r="I14" s="53">
        <v>3</v>
      </c>
      <c r="J14" s="54">
        <v>15</v>
      </c>
      <c r="K14" s="53">
        <v>24</v>
      </c>
      <c r="L14" s="53">
        <v>10</v>
      </c>
      <c r="M14" s="54">
        <v>25</v>
      </c>
      <c r="N14" s="53">
        <v>25</v>
      </c>
      <c r="O14" s="53">
        <v>18</v>
      </c>
      <c r="P14" s="54">
        <v>29</v>
      </c>
      <c r="Q14" s="53">
        <v>30</v>
      </c>
      <c r="R14" s="53">
        <v>1</v>
      </c>
      <c r="S14" s="54">
        <v>17</v>
      </c>
      <c r="T14" s="53">
        <v>25</v>
      </c>
      <c r="U14" s="53"/>
      <c r="V14" s="53"/>
      <c r="W14" s="53"/>
    </row>
    <row r="15" spans="1:23" x14ac:dyDescent="0.2">
      <c r="A15" s="30">
        <v>6</v>
      </c>
      <c r="B15" s="30">
        <v>1</v>
      </c>
      <c r="C15" s="53">
        <v>25</v>
      </c>
      <c r="D15" s="54">
        <v>25</v>
      </c>
      <c r="E15" s="53">
        <v>25</v>
      </c>
      <c r="F15" s="53">
        <v>25</v>
      </c>
      <c r="G15" s="54">
        <v>25</v>
      </c>
      <c r="H15" s="53">
        <v>25</v>
      </c>
      <c r="I15" s="53">
        <v>25</v>
      </c>
      <c r="J15" s="54">
        <v>25</v>
      </c>
      <c r="K15" s="53">
        <v>25</v>
      </c>
      <c r="L15" s="53">
        <v>25</v>
      </c>
      <c r="M15" s="54">
        <v>25</v>
      </c>
      <c r="N15" s="53">
        <v>25</v>
      </c>
      <c r="O15" s="53">
        <v>25</v>
      </c>
      <c r="P15" s="54">
        <v>25</v>
      </c>
      <c r="Q15" s="53">
        <v>25</v>
      </c>
      <c r="R15" s="53">
        <v>25</v>
      </c>
      <c r="S15" s="54">
        <v>25</v>
      </c>
      <c r="T15" s="53">
        <v>25</v>
      </c>
      <c r="U15" s="53">
        <v>22</v>
      </c>
      <c r="V15" s="53">
        <v>25</v>
      </c>
      <c r="W15" s="55">
        <v>25</v>
      </c>
    </row>
    <row r="16" spans="1:23" x14ac:dyDescent="0.2">
      <c r="A16" s="30">
        <v>6</v>
      </c>
      <c r="B16" s="30">
        <v>2</v>
      </c>
      <c r="C16" s="53">
        <v>25</v>
      </c>
      <c r="D16" s="54">
        <v>34</v>
      </c>
      <c r="E16" s="53">
        <v>34</v>
      </c>
      <c r="F16" s="53">
        <v>25</v>
      </c>
      <c r="G16" s="54">
        <v>25</v>
      </c>
      <c r="H16" s="53">
        <v>25</v>
      </c>
      <c r="I16" s="53">
        <v>25</v>
      </c>
      <c r="J16" s="54">
        <v>25</v>
      </c>
      <c r="K16" s="53">
        <v>25</v>
      </c>
      <c r="L16" s="53">
        <v>25</v>
      </c>
      <c r="M16" s="54">
        <v>25</v>
      </c>
      <c r="N16" s="53">
        <v>25</v>
      </c>
      <c r="O16" s="53">
        <v>25</v>
      </c>
      <c r="P16" s="54">
        <v>25</v>
      </c>
      <c r="Q16" s="53">
        <v>25</v>
      </c>
      <c r="R16" s="53">
        <v>25</v>
      </c>
      <c r="S16" s="54">
        <v>25</v>
      </c>
      <c r="T16" s="53">
        <v>25</v>
      </c>
      <c r="U16" s="53">
        <v>21</v>
      </c>
      <c r="V16" s="53">
        <v>25</v>
      </c>
      <c r="W16" s="55">
        <v>25</v>
      </c>
    </row>
    <row r="17" spans="1:26" x14ac:dyDescent="0.2">
      <c r="A17" s="30">
        <v>6</v>
      </c>
      <c r="B17" s="30">
        <v>3</v>
      </c>
      <c r="C17" s="53">
        <v>25</v>
      </c>
      <c r="D17" s="54">
        <v>24</v>
      </c>
      <c r="E17" s="53">
        <v>24</v>
      </c>
      <c r="F17" s="53">
        <v>25</v>
      </c>
      <c r="G17" s="54">
        <v>25</v>
      </c>
      <c r="H17" s="53">
        <v>25</v>
      </c>
      <c r="I17" s="53">
        <v>25</v>
      </c>
      <c r="J17" s="54">
        <v>25</v>
      </c>
      <c r="K17" s="53">
        <v>25</v>
      </c>
      <c r="L17" s="53">
        <v>25</v>
      </c>
      <c r="M17" s="54">
        <v>25</v>
      </c>
      <c r="N17" s="53">
        <v>25</v>
      </c>
      <c r="O17" s="53">
        <v>25</v>
      </c>
      <c r="P17" s="54">
        <v>25</v>
      </c>
      <c r="Q17" s="53">
        <v>25</v>
      </c>
      <c r="R17" s="53">
        <v>24</v>
      </c>
      <c r="S17" s="54">
        <v>25</v>
      </c>
      <c r="T17" s="53">
        <v>25</v>
      </c>
      <c r="U17" s="53">
        <v>17</v>
      </c>
      <c r="V17" s="53">
        <v>20</v>
      </c>
      <c r="W17" s="55">
        <v>20</v>
      </c>
    </row>
    <row r="18" spans="1:26" x14ac:dyDescent="0.2">
      <c r="A18" s="30">
        <v>6</v>
      </c>
      <c r="B18" s="30">
        <v>4</v>
      </c>
      <c r="C18" s="53">
        <v>25</v>
      </c>
      <c r="D18" s="54">
        <v>25</v>
      </c>
      <c r="E18" s="53">
        <v>25</v>
      </c>
      <c r="F18" s="53">
        <v>25</v>
      </c>
      <c r="G18" s="54">
        <v>25</v>
      </c>
      <c r="H18" s="53">
        <v>25</v>
      </c>
      <c r="I18" s="53">
        <v>24</v>
      </c>
      <c r="J18" s="54">
        <v>25</v>
      </c>
      <c r="K18" s="53">
        <v>25</v>
      </c>
      <c r="L18" s="53">
        <v>24</v>
      </c>
      <c r="M18" s="54">
        <v>25</v>
      </c>
      <c r="N18" s="53">
        <v>25</v>
      </c>
      <c r="O18" s="53">
        <v>25</v>
      </c>
      <c r="P18" s="54">
        <v>25</v>
      </c>
      <c r="Q18" s="53">
        <v>25</v>
      </c>
      <c r="R18" s="53">
        <v>25</v>
      </c>
      <c r="S18" s="54">
        <v>25</v>
      </c>
      <c r="T18" s="53">
        <v>25</v>
      </c>
      <c r="U18" s="53"/>
      <c r="V18" s="53"/>
      <c r="W18" s="53"/>
    </row>
    <row r="19" spans="1:26" x14ac:dyDescent="0.2">
      <c r="A19" s="30">
        <v>8</v>
      </c>
      <c r="B19" s="30">
        <v>1</v>
      </c>
      <c r="C19" s="53">
        <v>23</v>
      </c>
      <c r="D19" s="54">
        <v>23</v>
      </c>
      <c r="E19" s="53">
        <v>23</v>
      </c>
      <c r="F19" s="53">
        <v>25</v>
      </c>
      <c r="G19" s="54">
        <v>25</v>
      </c>
      <c r="H19" s="53">
        <v>25</v>
      </c>
      <c r="I19" s="53">
        <v>25</v>
      </c>
      <c r="J19" s="54">
        <v>25</v>
      </c>
      <c r="K19" s="53">
        <v>25</v>
      </c>
      <c r="L19" s="53">
        <v>25</v>
      </c>
      <c r="M19" s="54">
        <v>25</v>
      </c>
      <c r="N19" s="53">
        <v>25</v>
      </c>
      <c r="O19" s="53">
        <v>25</v>
      </c>
      <c r="P19" s="54">
        <v>25</v>
      </c>
      <c r="Q19" s="53">
        <v>25</v>
      </c>
      <c r="R19" s="53">
        <v>25</v>
      </c>
      <c r="S19" s="54">
        <v>25</v>
      </c>
      <c r="T19" s="53">
        <v>25</v>
      </c>
      <c r="U19" s="53">
        <v>25</v>
      </c>
      <c r="V19" s="53">
        <v>25</v>
      </c>
      <c r="W19" s="53">
        <v>25</v>
      </c>
    </row>
    <row r="20" spans="1:26" x14ac:dyDescent="0.2">
      <c r="A20" s="30">
        <v>8</v>
      </c>
      <c r="B20" s="30">
        <v>2</v>
      </c>
      <c r="C20" s="53">
        <v>25</v>
      </c>
      <c r="D20" s="54">
        <v>24</v>
      </c>
      <c r="E20" s="53">
        <v>24</v>
      </c>
      <c r="F20" s="53">
        <v>25</v>
      </c>
      <c r="G20" s="54">
        <v>25</v>
      </c>
      <c r="H20" s="53">
        <v>25</v>
      </c>
      <c r="I20" s="53">
        <v>25</v>
      </c>
      <c r="J20" s="54">
        <v>25</v>
      </c>
      <c r="K20" s="53">
        <v>25</v>
      </c>
      <c r="L20" s="53">
        <v>25</v>
      </c>
      <c r="M20" s="54">
        <v>25</v>
      </c>
      <c r="N20" s="53">
        <v>25</v>
      </c>
      <c r="O20" s="53">
        <v>25</v>
      </c>
      <c r="P20" s="54">
        <v>25</v>
      </c>
      <c r="Q20" s="53">
        <v>25</v>
      </c>
      <c r="R20" s="53">
        <v>25</v>
      </c>
      <c r="S20" s="54">
        <v>25</v>
      </c>
      <c r="T20" s="53">
        <v>25</v>
      </c>
      <c r="U20" s="53">
        <v>25</v>
      </c>
      <c r="V20" s="53">
        <v>25</v>
      </c>
      <c r="W20" s="53">
        <v>25</v>
      </c>
    </row>
    <row r="21" spans="1:26" x14ac:dyDescent="0.2">
      <c r="A21" s="30">
        <v>8</v>
      </c>
      <c r="B21" s="30">
        <v>3</v>
      </c>
      <c r="C21" s="53">
        <v>24</v>
      </c>
      <c r="D21" s="54">
        <v>24</v>
      </c>
      <c r="E21" s="53">
        <v>24</v>
      </c>
      <c r="F21" s="53">
        <v>25</v>
      </c>
      <c r="G21" s="54">
        <v>25</v>
      </c>
      <c r="H21" s="53">
        <v>25</v>
      </c>
      <c r="I21" s="53">
        <v>25</v>
      </c>
      <c r="J21" s="54">
        <v>25</v>
      </c>
      <c r="K21" s="53">
        <v>25</v>
      </c>
      <c r="L21" s="53">
        <v>25</v>
      </c>
      <c r="M21" s="54">
        <v>25</v>
      </c>
      <c r="N21" s="53">
        <v>25</v>
      </c>
      <c r="O21" s="53">
        <v>25</v>
      </c>
      <c r="P21" s="54">
        <v>25</v>
      </c>
      <c r="Q21" s="53">
        <v>25</v>
      </c>
      <c r="R21" s="53">
        <v>25</v>
      </c>
      <c r="S21" s="54">
        <v>25</v>
      </c>
      <c r="T21" s="53">
        <v>25</v>
      </c>
      <c r="U21" s="53">
        <v>25</v>
      </c>
      <c r="V21" s="53">
        <v>25</v>
      </c>
      <c r="W21" s="53">
        <v>25</v>
      </c>
    </row>
    <row r="22" spans="1:26" x14ac:dyDescent="0.2">
      <c r="A22" s="30">
        <v>8</v>
      </c>
      <c r="B22" s="30">
        <v>4</v>
      </c>
      <c r="C22" s="53">
        <v>30</v>
      </c>
      <c r="D22" s="54">
        <v>30</v>
      </c>
      <c r="E22" s="53">
        <v>30</v>
      </c>
      <c r="F22" s="53">
        <v>25</v>
      </c>
      <c r="G22" s="54">
        <v>25</v>
      </c>
      <c r="H22" s="53">
        <v>25</v>
      </c>
      <c r="I22" s="53">
        <v>25</v>
      </c>
      <c r="J22" s="54">
        <v>25</v>
      </c>
      <c r="K22" s="53">
        <v>25</v>
      </c>
      <c r="L22" s="53">
        <v>25</v>
      </c>
      <c r="M22" s="54">
        <v>25</v>
      </c>
      <c r="N22" s="53">
        <v>25</v>
      </c>
      <c r="O22" s="53">
        <v>25</v>
      </c>
      <c r="P22" s="54">
        <v>25</v>
      </c>
      <c r="Q22" s="53">
        <v>25</v>
      </c>
      <c r="R22" s="53">
        <v>25</v>
      </c>
      <c r="S22" s="54">
        <v>25</v>
      </c>
      <c r="T22" s="53">
        <v>25</v>
      </c>
      <c r="U22" s="53"/>
      <c r="V22" s="53"/>
      <c r="W22" s="53"/>
    </row>
    <row r="23" spans="1:26" x14ac:dyDescent="0.2">
      <c r="A23"/>
      <c r="B23"/>
      <c r="C23" s="46"/>
      <c r="D23" s="46"/>
      <c r="E23" s="46"/>
      <c r="F23" s="46"/>
    </row>
    <row r="24" spans="1:26" x14ac:dyDescent="0.2">
      <c r="A24"/>
      <c r="B24"/>
      <c r="C24" s="46"/>
      <c r="D24" s="46"/>
      <c r="E24" s="46"/>
      <c r="F24" s="46"/>
    </row>
    <row r="25" spans="1:26" x14ac:dyDescent="0.2">
      <c r="A25"/>
      <c r="B2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/>
      <c r="Y25"/>
      <c r="Z25"/>
    </row>
    <row r="26" spans="1:26" x14ac:dyDescent="0.2">
      <c r="A26"/>
      <c r="B2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26" x14ac:dyDescent="0.2">
      <c r="A27"/>
      <c r="B2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26" x14ac:dyDescent="0.2">
      <c r="A28"/>
      <c r="B2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/>
      <c r="Y28"/>
      <c r="Z28"/>
    </row>
    <row r="29" spans="1:26" x14ac:dyDescent="0.2">
      <c r="A29"/>
      <c r="B2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/>
      <c r="Y29"/>
      <c r="Z29"/>
    </row>
    <row r="30" spans="1:26" x14ac:dyDescent="0.2">
      <c r="A30"/>
      <c r="B3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/>
      <c r="Y30"/>
      <c r="Z30"/>
    </row>
    <row r="31" spans="1:26" x14ac:dyDescent="0.2">
      <c r="A31"/>
      <c r="B31"/>
      <c r="C31" s="46"/>
      <c r="D31" s="46"/>
      <c r="E31" s="46"/>
      <c r="F31" s="46"/>
    </row>
    <row r="32" spans="1:26" x14ac:dyDescent="0.2">
      <c r="A32"/>
      <c r="B32"/>
      <c r="C32" s="46"/>
      <c r="D32" s="46"/>
      <c r="E32" s="46"/>
      <c r="F32" s="46"/>
    </row>
    <row r="33" spans="1:6" x14ac:dyDescent="0.2">
      <c r="A33"/>
      <c r="B33"/>
      <c r="C33" s="46"/>
      <c r="D33" s="46"/>
      <c r="E33" s="46"/>
      <c r="F33" s="46"/>
    </row>
    <row r="34" spans="1:6" x14ac:dyDescent="0.2">
      <c r="A34"/>
      <c r="B34"/>
      <c r="C34" s="46"/>
      <c r="D34" s="46"/>
      <c r="E34" s="46"/>
      <c r="F34" s="46"/>
    </row>
    <row r="35" spans="1:6" x14ac:dyDescent="0.2">
      <c r="A35"/>
      <c r="B35"/>
      <c r="C35" s="46"/>
      <c r="D35" s="46"/>
      <c r="E35" s="46"/>
      <c r="F35" s="46"/>
    </row>
    <row r="36" spans="1:6" x14ac:dyDescent="0.2">
      <c r="A36"/>
      <c r="B36"/>
      <c r="C36" s="46"/>
      <c r="D36" s="46"/>
      <c r="E36" s="46"/>
      <c r="F36" s="46"/>
    </row>
    <row r="37" spans="1:6" x14ac:dyDescent="0.2">
      <c r="A37"/>
      <c r="B37"/>
      <c r="C37" s="46"/>
      <c r="D37" s="46"/>
      <c r="E37" s="46"/>
      <c r="F37" s="46"/>
    </row>
    <row r="38" spans="1:6" x14ac:dyDescent="0.2">
      <c r="A38"/>
      <c r="B38"/>
      <c r="C38" s="46"/>
      <c r="D38" s="46"/>
      <c r="E38" s="46"/>
      <c r="F38" s="46"/>
    </row>
    <row r="39" spans="1:6" x14ac:dyDescent="0.2">
      <c r="A39"/>
      <c r="B39"/>
      <c r="C39" s="46"/>
      <c r="D39" s="46"/>
      <c r="E39" s="46"/>
      <c r="F39" s="46"/>
    </row>
    <row r="40" spans="1:6" x14ac:dyDescent="0.2">
      <c r="A40"/>
      <c r="B40"/>
      <c r="C40" s="46"/>
      <c r="D40" s="46"/>
      <c r="E40" s="46"/>
      <c r="F40" s="46"/>
    </row>
    <row r="41" spans="1:6" x14ac:dyDescent="0.2">
      <c r="A41"/>
      <c r="B41"/>
      <c r="C41" s="46"/>
      <c r="D41" s="46"/>
      <c r="E41" s="46"/>
      <c r="F41" s="46"/>
    </row>
    <row r="42" spans="1:6" x14ac:dyDescent="0.2">
      <c r="A42"/>
      <c r="B42"/>
      <c r="C42" s="46"/>
      <c r="D42" s="46"/>
      <c r="E42" s="46"/>
      <c r="F42" s="46"/>
    </row>
    <row r="43" spans="1:6" x14ac:dyDescent="0.2">
      <c r="A43"/>
      <c r="B43"/>
      <c r="C43" s="46"/>
      <c r="D43" s="46"/>
      <c r="E43" s="46"/>
      <c r="F43" s="46"/>
    </row>
    <row r="44" spans="1:6" x14ac:dyDescent="0.2">
      <c r="A44"/>
      <c r="B44"/>
      <c r="C44" s="46"/>
      <c r="D44" s="46"/>
      <c r="E44" s="46"/>
      <c r="F44" s="46"/>
    </row>
    <row r="45" spans="1:6" x14ac:dyDescent="0.2">
      <c r="A45"/>
      <c r="B45"/>
      <c r="C45" s="46"/>
      <c r="D45" s="46"/>
      <c r="E45" s="46"/>
      <c r="F45" s="46"/>
    </row>
    <row r="46" spans="1:6" x14ac:dyDescent="0.2">
      <c r="A46"/>
      <c r="B46"/>
      <c r="C46" s="46"/>
      <c r="D46" s="46"/>
      <c r="E46" s="46"/>
      <c r="F46" s="46"/>
    </row>
    <row r="47" spans="1:6" x14ac:dyDescent="0.2">
      <c r="A47"/>
      <c r="B47"/>
      <c r="C47" s="46"/>
      <c r="D47" s="46"/>
      <c r="E47" s="46"/>
      <c r="F47" s="46"/>
    </row>
    <row r="48" spans="1:6" x14ac:dyDescent="0.2">
      <c r="A48"/>
      <c r="B48"/>
      <c r="C48" s="46"/>
      <c r="D48" s="46"/>
      <c r="E48" s="46"/>
      <c r="F48" s="46"/>
    </row>
    <row r="49" spans="1:6" x14ac:dyDescent="0.2">
      <c r="A49"/>
      <c r="B49"/>
      <c r="C49" s="46"/>
      <c r="D49" s="46"/>
      <c r="E49" s="46"/>
      <c r="F49" s="46"/>
    </row>
    <row r="50" spans="1:6" x14ac:dyDescent="0.2">
      <c r="A50"/>
      <c r="B50"/>
      <c r="C50" s="46"/>
      <c r="D50" s="46"/>
      <c r="E50" s="46"/>
      <c r="F50" s="46"/>
    </row>
    <row r="51" spans="1:6" x14ac:dyDescent="0.2">
      <c r="A51"/>
      <c r="B51"/>
      <c r="C51" s="46"/>
      <c r="D51" s="46"/>
      <c r="E51" s="46"/>
      <c r="F51" s="46"/>
    </row>
    <row r="52" spans="1:6" x14ac:dyDescent="0.2">
      <c r="A52"/>
      <c r="B52"/>
      <c r="C52" s="46"/>
      <c r="D52" s="46"/>
      <c r="E52" s="46"/>
      <c r="F52" s="46"/>
    </row>
    <row r="53" spans="1:6" x14ac:dyDescent="0.2">
      <c r="A53"/>
      <c r="B53"/>
      <c r="C53" s="46"/>
      <c r="D53" s="46"/>
      <c r="E53" s="46"/>
      <c r="F53" s="46"/>
    </row>
    <row r="54" spans="1:6" x14ac:dyDescent="0.2">
      <c r="A54"/>
      <c r="B54"/>
      <c r="C54" s="46"/>
      <c r="D54" s="46"/>
      <c r="E54" s="46"/>
      <c r="F54" s="46"/>
    </row>
    <row r="55" spans="1:6" x14ac:dyDescent="0.2">
      <c r="A55"/>
      <c r="B55"/>
      <c r="C55" s="46"/>
      <c r="D55" s="46"/>
      <c r="E55" s="46"/>
      <c r="F55" s="46"/>
    </row>
    <row r="56" spans="1:6" x14ac:dyDescent="0.2">
      <c r="A56"/>
      <c r="B56"/>
      <c r="C56" s="46"/>
      <c r="D56" s="46"/>
      <c r="E56" s="46"/>
      <c r="F56" s="46"/>
    </row>
    <row r="57" spans="1:6" x14ac:dyDescent="0.2">
      <c r="A57"/>
      <c r="B57"/>
      <c r="C57" s="46"/>
      <c r="D57" s="46"/>
      <c r="E57" s="46"/>
      <c r="F57" s="46"/>
    </row>
    <row r="58" spans="1:6" x14ac:dyDescent="0.2">
      <c r="A58"/>
      <c r="B58"/>
      <c r="C58" s="46"/>
      <c r="D58" s="46"/>
      <c r="E58" s="46"/>
      <c r="F58" s="46"/>
    </row>
    <row r="59" spans="1:6" x14ac:dyDescent="0.2">
      <c r="A59"/>
      <c r="B59"/>
      <c r="C59" s="46"/>
      <c r="D59" s="46"/>
      <c r="E59" s="46"/>
      <c r="F59" s="46"/>
    </row>
    <row r="60" spans="1:6" x14ac:dyDescent="0.2">
      <c r="A60"/>
      <c r="B60"/>
      <c r="C60" s="46"/>
      <c r="D60" s="46"/>
      <c r="E60" s="46"/>
      <c r="F60" s="46"/>
    </row>
    <row r="61" spans="1:6" x14ac:dyDescent="0.2">
      <c r="A61"/>
      <c r="B61"/>
      <c r="C61" s="46"/>
      <c r="D61" s="46"/>
      <c r="E61" s="46"/>
      <c r="F61" s="46"/>
    </row>
    <row r="62" spans="1:6" x14ac:dyDescent="0.2">
      <c r="A62"/>
      <c r="B62"/>
      <c r="C62" s="46"/>
      <c r="D62" s="46"/>
      <c r="E62" s="46"/>
      <c r="F62" s="46"/>
    </row>
    <row r="63" spans="1:6" x14ac:dyDescent="0.2">
      <c r="A63"/>
      <c r="B63"/>
      <c r="C63" s="46"/>
      <c r="D63" s="46"/>
      <c r="E63" s="46"/>
      <c r="F63" s="46"/>
    </row>
    <row r="64" spans="1:6" x14ac:dyDescent="0.2">
      <c r="A64"/>
      <c r="B64"/>
      <c r="C64" s="46"/>
      <c r="D64" s="46"/>
      <c r="E64" s="46"/>
      <c r="F64" s="46"/>
    </row>
    <row r="65" spans="1:6" x14ac:dyDescent="0.2">
      <c r="A65"/>
      <c r="B65"/>
      <c r="C65" s="46"/>
      <c r="D65" s="46"/>
      <c r="E65" s="46"/>
      <c r="F65" s="46"/>
    </row>
  </sheetData>
  <mergeCells count="7">
    <mergeCell ref="R1:T1"/>
    <mergeCell ref="U1:W1"/>
    <mergeCell ref="C1:E1"/>
    <mergeCell ref="F1:H1"/>
    <mergeCell ref="I1:K1"/>
    <mergeCell ref="L1:N1"/>
    <mergeCell ref="O1:Q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DD82-0E3C-1444-B6E0-8F244C6FDB84}">
  <dimension ref="A1:L48"/>
  <sheetViews>
    <sheetView workbookViewId="0">
      <pane ySplit="2" topLeftCell="A14" activePane="bottomLeft" state="frozen"/>
      <selection pane="bottomLeft" activeCell="G10" sqref="G10"/>
    </sheetView>
  </sheetViews>
  <sheetFormatPr baseColWidth="10" defaultRowHeight="16" x14ac:dyDescent="0.2"/>
  <cols>
    <col min="1" max="1" width="17.6640625" style="19" customWidth="1"/>
    <col min="2" max="2" width="14.6640625" style="18" customWidth="1"/>
    <col min="3" max="4" width="10.83203125" style="59"/>
    <col min="5" max="5" width="13.5" style="59" customWidth="1"/>
    <col min="6" max="9" width="10.83203125" style="1"/>
    <col min="10" max="10" width="10.83203125" style="1" customWidth="1"/>
  </cols>
  <sheetData>
    <row r="1" spans="1:12" x14ac:dyDescent="0.2">
      <c r="A1" s="20" t="s">
        <v>36</v>
      </c>
      <c r="B1" s="26"/>
      <c r="C1" s="57"/>
      <c r="D1" s="57"/>
      <c r="E1" s="57"/>
      <c r="F1" s="6"/>
      <c r="G1" s="6"/>
      <c r="H1" s="6"/>
      <c r="I1" s="6"/>
      <c r="J1" s="6"/>
    </row>
    <row r="2" spans="1:12" s="21" customFormat="1" ht="68" x14ac:dyDescent="0.2">
      <c r="B2" s="27" t="s">
        <v>41</v>
      </c>
      <c r="C2" s="56" t="s">
        <v>42</v>
      </c>
      <c r="D2" s="56" t="s">
        <v>40</v>
      </c>
      <c r="E2" s="56" t="s">
        <v>47</v>
      </c>
      <c r="F2" s="23" t="s">
        <v>43</v>
      </c>
      <c r="G2" s="23" t="s">
        <v>37</v>
      </c>
      <c r="H2" s="23" t="s">
        <v>38</v>
      </c>
      <c r="I2" s="23" t="s">
        <v>44</v>
      </c>
      <c r="J2" s="23" t="s">
        <v>45</v>
      </c>
    </row>
    <row r="3" spans="1:12" s="8" customFormat="1" x14ac:dyDescent="0.2">
      <c r="A3" s="22" t="s">
        <v>34</v>
      </c>
      <c r="B3" s="28">
        <v>0</v>
      </c>
      <c r="C3" s="58">
        <v>1</v>
      </c>
      <c r="D3" s="58">
        <v>79</v>
      </c>
      <c r="E3" s="58">
        <f>C3+D3</f>
        <v>80</v>
      </c>
      <c r="F3" s="7">
        <f>(D3/E3)*100</f>
        <v>98.75</v>
      </c>
      <c r="G3" s="7"/>
      <c r="H3" s="7"/>
      <c r="I3" s="7"/>
      <c r="J3" s="7"/>
    </row>
    <row r="4" spans="1:12" x14ac:dyDescent="0.2">
      <c r="A4" s="20"/>
      <c r="B4" s="26">
        <v>1.2999999999999999E-4</v>
      </c>
      <c r="C4" s="57">
        <v>6</v>
      </c>
      <c r="D4" s="57">
        <v>74</v>
      </c>
      <c r="E4" s="57">
        <f t="shared" ref="E4:E38" si="0">C4+D4</f>
        <v>80</v>
      </c>
      <c r="F4" s="6">
        <f t="shared" ref="F4:F38" si="1">(D4/E4)*100</f>
        <v>92.5</v>
      </c>
      <c r="G4" s="6"/>
      <c r="H4" s="6"/>
      <c r="I4" s="6"/>
      <c r="J4" s="6">
        <f>100-((F4*100)/100)</f>
        <v>7.5</v>
      </c>
    </row>
    <row r="5" spans="1:12" x14ac:dyDescent="0.2">
      <c r="A5" s="20"/>
      <c r="B5" s="26">
        <v>6.4000000000000005E-4</v>
      </c>
      <c r="C5" s="57">
        <v>8</v>
      </c>
      <c r="D5" s="57">
        <v>72</v>
      </c>
      <c r="E5" s="57">
        <f t="shared" si="0"/>
        <v>80</v>
      </c>
      <c r="F5" s="6">
        <f t="shared" si="1"/>
        <v>90</v>
      </c>
      <c r="G5" s="6"/>
      <c r="H5" s="6"/>
      <c r="I5" s="6"/>
      <c r="J5" s="6">
        <f>100-((F5*100)/100)</f>
        <v>10</v>
      </c>
    </row>
    <row r="6" spans="1:12" x14ac:dyDescent="0.2">
      <c r="A6" s="20"/>
      <c r="B6" s="26">
        <v>3.2000000000000002E-3</v>
      </c>
      <c r="C6" s="57">
        <v>7</v>
      </c>
      <c r="D6" s="57">
        <v>73</v>
      </c>
      <c r="E6" s="57">
        <f t="shared" si="0"/>
        <v>80</v>
      </c>
      <c r="F6" s="6">
        <f t="shared" si="1"/>
        <v>91.25</v>
      </c>
      <c r="G6" s="6"/>
      <c r="H6" s="6"/>
      <c r="I6" s="6"/>
      <c r="J6" s="6">
        <f>100-((F6*100)/100)</f>
        <v>8.75</v>
      </c>
    </row>
    <row r="7" spans="1:12" x14ac:dyDescent="0.2">
      <c r="A7" s="20"/>
      <c r="B7" s="26">
        <v>1.6E-2</v>
      </c>
      <c r="C7" s="57">
        <v>13</v>
      </c>
      <c r="D7" s="57">
        <v>67</v>
      </c>
      <c r="E7" s="57">
        <f t="shared" si="0"/>
        <v>80</v>
      </c>
      <c r="F7" s="6">
        <f t="shared" si="1"/>
        <v>83.75</v>
      </c>
      <c r="G7" s="6"/>
      <c r="H7" s="6"/>
      <c r="I7" s="6"/>
      <c r="J7" s="6">
        <f>100-((F7*100)/100)</f>
        <v>16.25</v>
      </c>
    </row>
    <row r="8" spans="1:12" x14ac:dyDescent="0.2">
      <c r="A8" s="20"/>
      <c r="B8" s="26">
        <v>0.08</v>
      </c>
      <c r="C8" s="57">
        <v>13</v>
      </c>
      <c r="D8" s="57">
        <v>67</v>
      </c>
      <c r="E8" s="57">
        <f t="shared" si="0"/>
        <v>80</v>
      </c>
      <c r="F8" s="6">
        <f t="shared" si="1"/>
        <v>83.75</v>
      </c>
      <c r="G8" s="6"/>
      <c r="H8" s="6"/>
      <c r="I8" s="6"/>
      <c r="J8" s="6">
        <f>100-((F8*100)/100)</f>
        <v>16.25</v>
      </c>
    </row>
    <row r="9" spans="1:12" x14ac:dyDescent="0.2">
      <c r="A9" s="20" t="s">
        <v>14</v>
      </c>
      <c r="B9" s="26">
        <v>0</v>
      </c>
      <c r="C9" s="57">
        <v>14</v>
      </c>
      <c r="D9" s="57">
        <v>97</v>
      </c>
      <c r="E9" s="57">
        <f t="shared" si="0"/>
        <v>111</v>
      </c>
      <c r="F9" s="6">
        <f t="shared" si="1"/>
        <v>87.387387387387378</v>
      </c>
      <c r="G9" s="6">
        <f>(C9/E9) *100</f>
        <v>12.612612612612612</v>
      </c>
      <c r="H9" s="6"/>
      <c r="I9" s="6"/>
      <c r="J9" s="6"/>
      <c r="L9" s="1"/>
    </row>
    <row r="10" spans="1:12" x14ac:dyDescent="0.2">
      <c r="A10" s="20"/>
      <c r="B10" s="26">
        <v>1.2999999999999999E-4</v>
      </c>
      <c r="C10" s="57">
        <v>17</v>
      </c>
      <c r="D10" s="57">
        <v>66</v>
      </c>
      <c r="E10" s="57">
        <f t="shared" si="0"/>
        <v>83</v>
      </c>
      <c r="F10" s="6">
        <f t="shared" si="1"/>
        <v>79.518072289156621</v>
      </c>
      <c r="G10" s="6">
        <f t="shared" ref="G10:G14" si="2">(C10/E10) *100</f>
        <v>20.481927710843372</v>
      </c>
      <c r="H10" s="6">
        <f>(G10-12.61)/(100 -12.61) *100</f>
        <v>9.0078129200633619</v>
      </c>
      <c r="I10" s="6">
        <f>(E10-H10)/E10 *100</f>
        <v>89.147213349321248</v>
      </c>
      <c r="J10" s="6">
        <f>100-((I10*100)/100)</f>
        <v>10.852786650678752</v>
      </c>
    </row>
    <row r="11" spans="1:12" x14ac:dyDescent="0.2">
      <c r="A11" s="20"/>
      <c r="B11" s="26">
        <v>6.4000000000000005E-4</v>
      </c>
      <c r="C11" s="57">
        <v>4</v>
      </c>
      <c r="D11" s="57">
        <v>78</v>
      </c>
      <c r="E11" s="57">
        <f t="shared" si="0"/>
        <v>82</v>
      </c>
      <c r="F11" s="6">
        <f t="shared" si="1"/>
        <v>95.121951219512198</v>
      </c>
      <c r="G11" s="6">
        <f t="shared" si="2"/>
        <v>4.8780487804878048</v>
      </c>
      <c r="H11" s="6">
        <v>0</v>
      </c>
      <c r="I11" s="6">
        <f t="shared" ref="I11:I14" si="3">(E11-H11)/E11 *100</f>
        <v>100</v>
      </c>
      <c r="J11" s="6">
        <f t="shared" ref="J11:J14" si="4">100-((I11*100)/100)</f>
        <v>0</v>
      </c>
    </row>
    <row r="12" spans="1:12" x14ac:dyDescent="0.2">
      <c r="A12" s="20"/>
      <c r="B12" s="26">
        <v>3.2000000000000002E-3</v>
      </c>
      <c r="C12" s="57">
        <v>8</v>
      </c>
      <c r="D12" s="57">
        <v>79</v>
      </c>
      <c r="E12" s="57">
        <f t="shared" si="0"/>
        <v>87</v>
      </c>
      <c r="F12" s="6">
        <f t="shared" si="1"/>
        <v>90.804597701149419</v>
      </c>
      <c r="G12" s="6">
        <f t="shared" si="2"/>
        <v>9.1954022988505741</v>
      </c>
      <c r="H12" s="6">
        <v>0</v>
      </c>
      <c r="I12" s="6">
        <f t="shared" si="3"/>
        <v>100</v>
      </c>
      <c r="J12" s="6">
        <f t="shared" si="4"/>
        <v>0</v>
      </c>
    </row>
    <row r="13" spans="1:12" x14ac:dyDescent="0.2">
      <c r="A13" s="20"/>
      <c r="B13" s="26">
        <v>1.6E-2</v>
      </c>
      <c r="C13" s="57">
        <v>27</v>
      </c>
      <c r="D13" s="57">
        <v>62</v>
      </c>
      <c r="E13" s="57">
        <f t="shared" si="0"/>
        <v>89</v>
      </c>
      <c r="F13" s="6">
        <f t="shared" si="1"/>
        <v>69.662921348314612</v>
      </c>
      <c r="G13" s="6">
        <f t="shared" si="2"/>
        <v>30.337078651685395</v>
      </c>
      <c r="H13" s="6">
        <f t="shared" ref="H13:H14" si="5">(G13-12.61)/(100 -12.61) *100</f>
        <v>20.285019626599606</v>
      </c>
      <c r="I13" s="6">
        <f t="shared" si="3"/>
        <v>77.207843116180214</v>
      </c>
      <c r="J13" s="6">
        <f t="shared" si="4"/>
        <v>22.792156883819786</v>
      </c>
    </row>
    <row r="14" spans="1:12" x14ac:dyDescent="0.2">
      <c r="A14" s="20"/>
      <c r="B14" s="26">
        <v>0.08</v>
      </c>
      <c r="C14" s="57">
        <v>66</v>
      </c>
      <c r="D14" s="57">
        <v>17</v>
      </c>
      <c r="E14" s="57">
        <f t="shared" si="0"/>
        <v>83</v>
      </c>
      <c r="F14" s="6">
        <f t="shared" si="1"/>
        <v>20.481927710843372</v>
      </c>
      <c r="G14" s="6">
        <f t="shared" si="2"/>
        <v>79.518072289156621</v>
      </c>
      <c r="H14" s="6">
        <f t="shared" si="5"/>
        <v>76.562618479410247</v>
      </c>
      <c r="I14" s="6">
        <f t="shared" si="3"/>
        <v>7.7558813501081358</v>
      </c>
      <c r="J14" s="6">
        <f t="shared" si="4"/>
        <v>92.24411864989186</v>
      </c>
    </row>
    <row r="15" spans="1:12" x14ac:dyDescent="0.2">
      <c r="A15" s="20" t="s">
        <v>11</v>
      </c>
      <c r="B15" s="26">
        <v>0</v>
      </c>
      <c r="C15" s="57">
        <v>2</v>
      </c>
      <c r="D15" s="57">
        <v>79</v>
      </c>
      <c r="E15" s="57">
        <f t="shared" si="0"/>
        <v>81</v>
      </c>
      <c r="F15" s="6">
        <f t="shared" si="1"/>
        <v>97.53086419753086</v>
      </c>
      <c r="G15" s="6"/>
      <c r="H15" s="6"/>
      <c r="I15" s="6"/>
      <c r="J15" s="6"/>
    </row>
    <row r="16" spans="1:12" x14ac:dyDescent="0.2">
      <c r="A16" s="20"/>
      <c r="B16" s="26">
        <v>1.2999999999999999E-4</v>
      </c>
      <c r="C16" s="57">
        <v>3</v>
      </c>
      <c r="D16" s="57">
        <v>79</v>
      </c>
      <c r="E16" s="57">
        <f t="shared" si="0"/>
        <v>82</v>
      </c>
      <c r="F16" s="6">
        <f t="shared" si="1"/>
        <v>96.341463414634148</v>
      </c>
      <c r="G16" s="6"/>
      <c r="H16" s="6"/>
      <c r="I16" s="6"/>
      <c r="J16" s="6">
        <f>100-((F16*100)/100)</f>
        <v>3.6585365853658516</v>
      </c>
    </row>
    <row r="17" spans="1:10" x14ac:dyDescent="0.2">
      <c r="A17" s="20"/>
      <c r="B17" s="26">
        <v>6.4000000000000005E-4</v>
      </c>
      <c r="C17" s="57">
        <v>15</v>
      </c>
      <c r="D17" s="57">
        <v>68</v>
      </c>
      <c r="E17" s="57">
        <f t="shared" si="0"/>
        <v>83</v>
      </c>
      <c r="F17" s="6">
        <f t="shared" si="1"/>
        <v>81.92771084337349</v>
      </c>
      <c r="G17" s="6"/>
      <c r="H17" s="6"/>
      <c r="I17" s="6"/>
      <c r="J17" s="6">
        <f>100-((F17*100)/100)</f>
        <v>18.072289156626496</v>
      </c>
    </row>
    <row r="18" spans="1:10" x14ac:dyDescent="0.2">
      <c r="A18" s="20"/>
      <c r="B18" s="26">
        <v>3.2000000000000002E-3</v>
      </c>
      <c r="C18" s="57">
        <v>26</v>
      </c>
      <c r="D18" s="57">
        <v>54</v>
      </c>
      <c r="E18" s="57">
        <f t="shared" si="0"/>
        <v>80</v>
      </c>
      <c r="F18" s="6">
        <f t="shared" si="1"/>
        <v>67.5</v>
      </c>
      <c r="G18" s="6"/>
      <c r="H18" s="6"/>
      <c r="I18" s="6"/>
      <c r="J18" s="6">
        <f>100-((F18*100)/100)</f>
        <v>32.5</v>
      </c>
    </row>
    <row r="19" spans="1:10" x14ac:dyDescent="0.2">
      <c r="A19" s="20"/>
      <c r="B19" s="26">
        <v>1.6E-2</v>
      </c>
      <c r="C19" s="57">
        <v>10</v>
      </c>
      <c r="D19" s="57">
        <v>72</v>
      </c>
      <c r="E19" s="57">
        <f t="shared" si="0"/>
        <v>82</v>
      </c>
      <c r="F19" s="6">
        <f t="shared" si="1"/>
        <v>87.804878048780495</v>
      </c>
      <c r="G19" s="6"/>
      <c r="H19" s="6"/>
      <c r="I19" s="6"/>
      <c r="J19" s="6">
        <f>100-((F19*100)/100)</f>
        <v>12.195121951219505</v>
      </c>
    </row>
    <row r="20" spans="1:10" x14ac:dyDescent="0.2">
      <c r="A20" s="20"/>
      <c r="B20" s="26">
        <v>0.08</v>
      </c>
      <c r="C20" s="57">
        <v>74</v>
      </c>
      <c r="D20" s="57">
        <v>8</v>
      </c>
      <c r="E20" s="57">
        <f t="shared" si="0"/>
        <v>82</v>
      </c>
      <c r="F20" s="6">
        <f t="shared" si="1"/>
        <v>9.7560975609756095</v>
      </c>
      <c r="G20" s="6"/>
      <c r="H20" s="6"/>
      <c r="I20" s="6"/>
      <c r="J20" s="6">
        <f>100-((F20*100)/100)</f>
        <v>90.243902439024396</v>
      </c>
    </row>
    <row r="21" spans="1:10" x14ac:dyDescent="0.2">
      <c r="A21" s="20" t="s">
        <v>3</v>
      </c>
      <c r="B21" s="26">
        <v>0</v>
      </c>
      <c r="C21" s="57">
        <v>2</v>
      </c>
      <c r="D21" s="57">
        <v>76</v>
      </c>
      <c r="E21" s="57">
        <f t="shared" si="0"/>
        <v>78</v>
      </c>
      <c r="F21" s="6">
        <f t="shared" si="1"/>
        <v>97.435897435897431</v>
      </c>
      <c r="G21" s="6"/>
      <c r="H21" s="6"/>
      <c r="I21" s="6"/>
      <c r="J21" s="6"/>
    </row>
    <row r="22" spans="1:10" x14ac:dyDescent="0.2">
      <c r="A22" s="20"/>
      <c r="B22" s="26">
        <v>1.2999999999999999E-4</v>
      </c>
      <c r="C22" s="57">
        <v>8</v>
      </c>
      <c r="D22" s="57">
        <v>64</v>
      </c>
      <c r="E22" s="57">
        <f t="shared" si="0"/>
        <v>72</v>
      </c>
      <c r="F22" s="6">
        <f t="shared" si="1"/>
        <v>88.888888888888886</v>
      </c>
      <c r="G22" s="6"/>
      <c r="H22" s="6"/>
      <c r="I22" s="6"/>
      <c r="J22" s="6">
        <f>100-((F22*100)/100)</f>
        <v>11.111111111111114</v>
      </c>
    </row>
    <row r="23" spans="1:10" x14ac:dyDescent="0.2">
      <c r="A23" s="20"/>
      <c r="B23" s="26">
        <v>6.4000000000000005E-4</v>
      </c>
      <c r="C23" s="57">
        <v>7</v>
      </c>
      <c r="D23" s="57">
        <v>74</v>
      </c>
      <c r="E23" s="57">
        <f t="shared" si="0"/>
        <v>81</v>
      </c>
      <c r="F23" s="6">
        <f t="shared" si="1"/>
        <v>91.358024691358025</v>
      </c>
      <c r="G23" s="6"/>
      <c r="H23" s="6"/>
      <c r="I23" s="6"/>
      <c r="J23" s="6">
        <f>100-((F23*100)/100)</f>
        <v>8.6419753086419746</v>
      </c>
    </row>
    <row r="24" spans="1:10" x14ac:dyDescent="0.2">
      <c r="A24" s="20"/>
      <c r="B24" s="26">
        <v>3.2000000000000002E-3</v>
      </c>
      <c r="C24" s="57">
        <v>8</v>
      </c>
      <c r="D24" s="57">
        <v>66</v>
      </c>
      <c r="E24" s="57">
        <f t="shared" si="0"/>
        <v>74</v>
      </c>
      <c r="F24" s="6">
        <f t="shared" si="1"/>
        <v>89.189189189189193</v>
      </c>
      <c r="G24" s="6"/>
      <c r="H24" s="6"/>
      <c r="I24" s="6"/>
      <c r="J24" s="6">
        <f>100-((F24*100)/100)</f>
        <v>10.810810810810793</v>
      </c>
    </row>
    <row r="25" spans="1:10" x14ac:dyDescent="0.2">
      <c r="A25" s="20"/>
      <c r="B25" s="26">
        <v>1.6E-2</v>
      </c>
      <c r="C25" s="57">
        <v>13</v>
      </c>
      <c r="D25" s="57">
        <v>59</v>
      </c>
      <c r="E25" s="57">
        <f t="shared" si="0"/>
        <v>72</v>
      </c>
      <c r="F25" s="6">
        <f t="shared" si="1"/>
        <v>81.944444444444443</v>
      </c>
      <c r="G25" s="6"/>
      <c r="H25" s="6"/>
      <c r="I25" s="6"/>
      <c r="J25" s="6">
        <f>100-((F25*100)/100)</f>
        <v>18.055555555555571</v>
      </c>
    </row>
    <row r="26" spans="1:10" x14ac:dyDescent="0.2">
      <c r="A26" s="20"/>
      <c r="B26" s="26">
        <v>0.08</v>
      </c>
      <c r="C26" s="57">
        <v>37</v>
      </c>
      <c r="D26" s="57">
        <v>45</v>
      </c>
      <c r="E26" s="57">
        <f t="shared" si="0"/>
        <v>82</v>
      </c>
      <c r="F26" s="6">
        <f t="shared" si="1"/>
        <v>54.878048780487809</v>
      </c>
      <c r="G26" s="6"/>
      <c r="H26" s="6"/>
      <c r="I26" s="6"/>
      <c r="J26" s="6">
        <f>100-((F26*100)/100)</f>
        <v>45.121951219512191</v>
      </c>
    </row>
    <row r="27" spans="1:10" x14ac:dyDescent="0.2">
      <c r="A27" s="20" t="s">
        <v>10</v>
      </c>
      <c r="B27" s="26">
        <v>0</v>
      </c>
      <c r="C27" s="57">
        <v>7</v>
      </c>
      <c r="D27" s="57">
        <v>69</v>
      </c>
      <c r="E27" s="57">
        <f t="shared" si="0"/>
        <v>76</v>
      </c>
      <c r="F27" s="6">
        <f t="shared" si="1"/>
        <v>90.789473684210535</v>
      </c>
      <c r="G27" s="6">
        <f>(C27/E27) *100</f>
        <v>9.2105263157894726</v>
      </c>
      <c r="H27" s="6"/>
      <c r="I27" s="6"/>
      <c r="J27" s="6"/>
    </row>
    <row r="28" spans="1:10" x14ac:dyDescent="0.2">
      <c r="A28" s="20"/>
      <c r="B28" s="26">
        <v>1.2999999999999999E-4</v>
      </c>
      <c r="C28" s="57">
        <v>29</v>
      </c>
      <c r="D28" s="57">
        <v>47</v>
      </c>
      <c r="E28" s="57">
        <f t="shared" si="0"/>
        <v>76</v>
      </c>
      <c r="F28" s="6">
        <f t="shared" si="1"/>
        <v>61.842105263157897</v>
      </c>
      <c r="G28" s="6">
        <f t="shared" ref="G28:G32" si="6">(C28/E28) *100</f>
        <v>38.15789473684211</v>
      </c>
      <c r="H28" s="6">
        <f>(G28-12.61)/(100 -12.61) *100</f>
        <v>29.234345733885007</v>
      </c>
      <c r="I28" s="6">
        <f>(E28-H28)/E28 *100</f>
        <v>61.533755613309204</v>
      </c>
      <c r="J28" s="6">
        <f>100-((I28*100)/100)</f>
        <v>38.466244386690796</v>
      </c>
    </row>
    <row r="29" spans="1:10" x14ac:dyDescent="0.2">
      <c r="A29" s="20"/>
      <c r="B29" s="26">
        <v>6.4000000000000005E-4</v>
      </c>
      <c r="C29" s="57">
        <v>32</v>
      </c>
      <c r="D29" s="57">
        <v>47</v>
      </c>
      <c r="E29" s="57">
        <f t="shared" si="0"/>
        <v>79</v>
      </c>
      <c r="F29" s="6">
        <f t="shared" si="1"/>
        <v>59.493670886075947</v>
      </c>
      <c r="G29" s="6">
        <f t="shared" si="6"/>
        <v>40.506329113924053</v>
      </c>
      <c r="H29" s="6">
        <f t="shared" ref="H29:H32" si="7">(G29-12.61)/(100 -12.61) *100</f>
        <v>31.921649060446338</v>
      </c>
      <c r="I29" s="6">
        <f t="shared" ref="I29:I31" si="8">(E29-H29)/E29 *100</f>
        <v>59.592849290574243</v>
      </c>
      <c r="J29" s="6">
        <f t="shared" ref="J29:J32" si="9">100-((I29*100)/100)</f>
        <v>40.407150709425757</v>
      </c>
    </row>
    <row r="30" spans="1:10" x14ac:dyDescent="0.2">
      <c r="A30" s="20"/>
      <c r="B30" s="26">
        <v>3.2000000000000002E-3</v>
      </c>
      <c r="C30" s="57">
        <v>53</v>
      </c>
      <c r="D30" s="57">
        <v>23</v>
      </c>
      <c r="E30" s="57">
        <f t="shared" si="0"/>
        <v>76</v>
      </c>
      <c r="F30" s="6">
        <f t="shared" si="1"/>
        <v>30.263157894736842</v>
      </c>
      <c r="G30" s="6">
        <f t="shared" si="6"/>
        <v>69.73684210526315</v>
      </c>
      <c r="H30" s="6">
        <f t="shared" si="7"/>
        <v>65.369998976156481</v>
      </c>
      <c r="I30" s="6">
        <f t="shared" si="8"/>
        <v>13.986843452425681</v>
      </c>
      <c r="J30" s="6">
        <f t="shared" si="9"/>
        <v>86.013156547574312</v>
      </c>
    </row>
    <row r="31" spans="1:10" x14ac:dyDescent="0.2">
      <c r="A31" s="20"/>
      <c r="B31" s="26">
        <v>1.6E-2</v>
      </c>
      <c r="C31" s="57">
        <v>72</v>
      </c>
      <c r="D31" s="57">
        <v>16</v>
      </c>
      <c r="E31" s="57">
        <f t="shared" si="0"/>
        <v>88</v>
      </c>
      <c r="F31" s="6">
        <f t="shared" si="1"/>
        <v>18.181818181818183</v>
      </c>
      <c r="G31" s="6">
        <f t="shared" si="6"/>
        <v>81.818181818181827</v>
      </c>
      <c r="H31" s="6">
        <f t="shared" si="7"/>
        <v>79.194623890813403</v>
      </c>
      <c r="I31" s="6">
        <f t="shared" si="8"/>
        <v>10.00610921498477</v>
      </c>
      <c r="J31" s="6">
        <f t="shared" si="9"/>
        <v>89.993890785015225</v>
      </c>
    </row>
    <row r="32" spans="1:10" x14ac:dyDescent="0.2">
      <c r="A32" s="20"/>
      <c r="B32" s="26">
        <v>0.08</v>
      </c>
      <c r="C32" s="57">
        <v>86</v>
      </c>
      <c r="D32" s="57">
        <v>6</v>
      </c>
      <c r="E32" s="57">
        <f t="shared" si="0"/>
        <v>92</v>
      </c>
      <c r="F32" s="6">
        <f t="shared" si="1"/>
        <v>6.5217391304347823</v>
      </c>
      <c r="G32" s="6">
        <f t="shared" si="6"/>
        <v>93.478260869565219</v>
      </c>
      <c r="H32" s="6">
        <f t="shared" si="7"/>
        <v>92.537202047791752</v>
      </c>
      <c r="I32" s="6">
        <v>0</v>
      </c>
      <c r="J32" s="6">
        <f t="shared" si="9"/>
        <v>100</v>
      </c>
    </row>
    <row r="33" spans="1:10" x14ac:dyDescent="0.2">
      <c r="A33" s="20" t="s">
        <v>16</v>
      </c>
      <c r="B33" s="26">
        <v>0</v>
      </c>
      <c r="C33" s="57">
        <v>0</v>
      </c>
      <c r="D33" s="57">
        <f>60-C33</f>
        <v>60</v>
      </c>
      <c r="E33" s="57">
        <f t="shared" si="0"/>
        <v>60</v>
      </c>
      <c r="F33" s="6">
        <f t="shared" si="1"/>
        <v>100</v>
      </c>
      <c r="G33" s="6">
        <f>(C33/E33) *100</f>
        <v>0</v>
      </c>
      <c r="H33" s="6"/>
      <c r="I33" s="6"/>
      <c r="J33" s="6"/>
    </row>
    <row r="34" spans="1:10" x14ac:dyDescent="0.2">
      <c r="A34" s="20"/>
      <c r="B34" s="26">
        <v>1.2999999999999999E-4</v>
      </c>
      <c r="C34" s="57">
        <v>0</v>
      </c>
      <c r="D34" s="57">
        <f t="shared" ref="D34:D38" si="10">60-C34</f>
        <v>60</v>
      </c>
      <c r="E34" s="57">
        <f t="shared" si="0"/>
        <v>60</v>
      </c>
      <c r="F34" s="6">
        <f t="shared" si="1"/>
        <v>100</v>
      </c>
      <c r="G34" s="15"/>
      <c r="H34" s="15"/>
      <c r="I34" s="15"/>
      <c r="J34" s="6">
        <f>100-((F34*100)/100)</f>
        <v>0</v>
      </c>
    </row>
    <row r="35" spans="1:10" x14ac:dyDescent="0.2">
      <c r="A35" s="20"/>
      <c r="B35" s="26">
        <v>6.4000000000000005E-4</v>
      </c>
      <c r="C35" s="57">
        <v>9</v>
      </c>
      <c r="D35" s="57">
        <f t="shared" si="10"/>
        <v>51</v>
      </c>
      <c r="E35" s="57">
        <f t="shared" si="0"/>
        <v>60</v>
      </c>
      <c r="F35" s="6">
        <f t="shared" si="1"/>
        <v>85</v>
      </c>
      <c r="G35" s="15"/>
      <c r="H35" s="15"/>
      <c r="I35" s="15"/>
      <c r="J35" s="6">
        <f t="shared" ref="J35:J38" si="11">100-((F35*100)/100)</f>
        <v>15</v>
      </c>
    </row>
    <row r="36" spans="1:10" x14ac:dyDescent="0.2">
      <c r="A36" s="20"/>
      <c r="B36" s="26">
        <v>3.2000000000000002E-3</v>
      </c>
      <c r="C36" s="57">
        <v>17</v>
      </c>
      <c r="D36" s="57">
        <f t="shared" si="10"/>
        <v>43</v>
      </c>
      <c r="E36" s="57">
        <f t="shared" si="0"/>
        <v>60</v>
      </c>
      <c r="F36" s="6">
        <f t="shared" si="1"/>
        <v>71.666666666666671</v>
      </c>
      <c r="G36" s="15"/>
      <c r="H36" s="15"/>
      <c r="I36" s="15"/>
      <c r="J36" s="6">
        <f t="shared" si="11"/>
        <v>28.333333333333329</v>
      </c>
    </row>
    <row r="37" spans="1:10" x14ac:dyDescent="0.2">
      <c r="A37" s="20"/>
      <c r="B37" s="26">
        <v>1.6E-2</v>
      </c>
      <c r="C37" s="57">
        <v>32</v>
      </c>
      <c r="D37" s="57">
        <f t="shared" si="10"/>
        <v>28</v>
      </c>
      <c r="E37" s="57">
        <f t="shared" si="0"/>
        <v>60</v>
      </c>
      <c r="F37" s="6">
        <f t="shared" si="1"/>
        <v>46.666666666666664</v>
      </c>
      <c r="G37" s="15"/>
      <c r="H37" s="15"/>
      <c r="I37" s="15"/>
      <c r="J37" s="6">
        <f t="shared" si="11"/>
        <v>53.333333333333343</v>
      </c>
    </row>
    <row r="38" spans="1:10" x14ac:dyDescent="0.2">
      <c r="A38" s="20"/>
      <c r="B38" s="26">
        <v>0.08</v>
      </c>
      <c r="C38" s="57">
        <v>22</v>
      </c>
      <c r="D38" s="57">
        <f t="shared" si="10"/>
        <v>38</v>
      </c>
      <c r="E38" s="57">
        <f t="shared" si="0"/>
        <v>60</v>
      </c>
      <c r="F38" s="6">
        <f t="shared" si="1"/>
        <v>63.333333333333329</v>
      </c>
      <c r="G38" s="15"/>
      <c r="H38" s="15"/>
      <c r="I38" s="15"/>
      <c r="J38" s="6">
        <f t="shared" si="11"/>
        <v>36.666666666666671</v>
      </c>
    </row>
    <row r="39" spans="1:10" x14ac:dyDescent="0.2">
      <c r="A39" s="20" t="s">
        <v>30</v>
      </c>
      <c r="B39" s="26">
        <v>0</v>
      </c>
      <c r="C39" s="57">
        <f t="shared" ref="C39" si="12">AK9</f>
        <v>0</v>
      </c>
      <c r="D39" s="57">
        <v>75</v>
      </c>
      <c r="E39" s="57">
        <v>75</v>
      </c>
      <c r="F39" s="6">
        <f>(D39/E39)*100</f>
        <v>100</v>
      </c>
      <c r="G39" s="15"/>
      <c r="H39" s="15"/>
      <c r="I39" s="15"/>
      <c r="J39" s="6"/>
    </row>
    <row r="40" spans="1:10" x14ac:dyDescent="0.2">
      <c r="A40" s="20"/>
      <c r="B40" s="26">
        <v>1.2999999999999999E-4</v>
      </c>
      <c r="C40" s="57">
        <v>55</v>
      </c>
      <c r="D40" s="57">
        <v>15</v>
      </c>
      <c r="E40" s="57">
        <v>70</v>
      </c>
      <c r="F40" s="6">
        <f t="shared" ref="F40:F44" si="13">(D40/E40)*100</f>
        <v>21.428571428571427</v>
      </c>
      <c r="G40" s="6"/>
      <c r="H40" s="6"/>
      <c r="I40" s="6"/>
      <c r="J40" s="6">
        <f>100-((F40*100)/100)</f>
        <v>78.571428571428569</v>
      </c>
    </row>
    <row r="41" spans="1:10" x14ac:dyDescent="0.2">
      <c r="A41" s="20"/>
      <c r="B41" s="26">
        <v>6.4000000000000005E-4</v>
      </c>
      <c r="C41" s="57">
        <v>60</v>
      </c>
      <c r="D41" s="57">
        <v>15</v>
      </c>
      <c r="E41" s="57">
        <v>75</v>
      </c>
      <c r="F41" s="6">
        <f t="shared" si="13"/>
        <v>20</v>
      </c>
      <c r="G41" s="6"/>
      <c r="H41" s="6"/>
      <c r="I41" s="6"/>
      <c r="J41" s="6">
        <f t="shared" ref="J41:J44" si="14">100-((F41*100)/100)</f>
        <v>80</v>
      </c>
    </row>
    <row r="42" spans="1:10" x14ac:dyDescent="0.2">
      <c r="A42" s="20"/>
      <c r="B42" s="26">
        <v>3.2000000000000002E-3</v>
      </c>
      <c r="C42" s="57">
        <v>70</v>
      </c>
      <c r="D42" s="57">
        <v>3</v>
      </c>
      <c r="E42" s="57">
        <v>73</v>
      </c>
      <c r="F42" s="6">
        <f t="shared" si="13"/>
        <v>4.10958904109589</v>
      </c>
      <c r="G42" s="6"/>
      <c r="H42" s="6"/>
      <c r="J42" s="6">
        <f t="shared" si="14"/>
        <v>95.890410958904113</v>
      </c>
    </row>
    <row r="43" spans="1:10" x14ac:dyDescent="0.2">
      <c r="A43" s="20"/>
      <c r="B43" s="26">
        <v>1.6E-2</v>
      </c>
      <c r="C43" s="57">
        <v>76</v>
      </c>
      <c r="D43" s="57">
        <v>0</v>
      </c>
      <c r="E43" s="57">
        <v>76</v>
      </c>
      <c r="F43" s="6">
        <f t="shared" si="13"/>
        <v>0</v>
      </c>
      <c r="G43" s="6"/>
      <c r="H43" s="6"/>
      <c r="I43" s="6"/>
      <c r="J43" s="6">
        <f t="shared" si="14"/>
        <v>100</v>
      </c>
    </row>
    <row r="44" spans="1:10" x14ac:dyDescent="0.2">
      <c r="A44" s="20"/>
      <c r="B44" s="26">
        <v>0.08</v>
      </c>
      <c r="C44" s="57">
        <v>70</v>
      </c>
      <c r="D44" s="57">
        <v>0</v>
      </c>
      <c r="E44" s="57">
        <v>70</v>
      </c>
      <c r="F44" s="6">
        <f t="shared" si="13"/>
        <v>0</v>
      </c>
      <c r="G44" s="6"/>
      <c r="H44" s="6"/>
      <c r="I44" s="6"/>
      <c r="J44" s="6">
        <f t="shared" si="14"/>
        <v>100</v>
      </c>
    </row>
    <row r="46" spans="1:10" x14ac:dyDescent="0.2">
      <c r="A46" s="19" t="s">
        <v>46</v>
      </c>
    </row>
    <row r="48" spans="1:10" x14ac:dyDescent="0.2">
      <c r="A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82B9-4A77-5841-A5CE-0380CCD69F74}">
  <dimension ref="A1:J49"/>
  <sheetViews>
    <sheetView workbookViewId="0">
      <selection activeCell="L9" sqref="L9"/>
    </sheetView>
  </sheetViews>
  <sheetFormatPr baseColWidth="10" defaultRowHeight="16" x14ac:dyDescent="0.2"/>
  <cols>
    <col min="1" max="1" width="14.1640625" style="19" customWidth="1"/>
    <col min="2" max="2" width="14.6640625" style="9" customWidth="1"/>
    <col min="3" max="5" width="10.83203125" style="46"/>
    <col min="6" max="10" width="10.83203125" style="1"/>
  </cols>
  <sheetData>
    <row r="1" spans="1:10" x14ac:dyDescent="0.2">
      <c r="A1" s="20" t="s">
        <v>39</v>
      </c>
      <c r="B1" s="24"/>
      <c r="C1" s="60"/>
      <c r="D1" s="60"/>
      <c r="E1" s="60"/>
      <c r="F1" s="6"/>
      <c r="G1" s="6"/>
      <c r="H1" s="6"/>
      <c r="I1" s="6"/>
      <c r="J1" s="6"/>
    </row>
    <row r="2" spans="1:10" s="17" customFormat="1" ht="68" x14ac:dyDescent="0.2">
      <c r="A2" s="19"/>
      <c r="B2" s="25" t="s">
        <v>41</v>
      </c>
      <c r="C2" s="56" t="s">
        <v>42</v>
      </c>
      <c r="D2" s="56" t="s">
        <v>40</v>
      </c>
      <c r="E2" s="56" t="s">
        <v>47</v>
      </c>
      <c r="F2" s="23" t="s">
        <v>43</v>
      </c>
      <c r="G2" s="23" t="s">
        <v>37</v>
      </c>
      <c r="H2" s="23" t="s">
        <v>38</v>
      </c>
      <c r="I2" s="23" t="s">
        <v>44</v>
      </c>
      <c r="J2" s="23" t="s">
        <v>45</v>
      </c>
    </row>
    <row r="3" spans="1:10" x14ac:dyDescent="0.2">
      <c r="A3" s="20" t="s">
        <v>34</v>
      </c>
      <c r="B3" s="24">
        <v>0</v>
      </c>
      <c r="C3" s="60">
        <v>0</v>
      </c>
      <c r="D3" s="60">
        <v>100</v>
      </c>
      <c r="E3" s="60">
        <f>C3+D3</f>
        <v>100</v>
      </c>
      <c r="F3" s="6">
        <f>D3/E3 *100</f>
        <v>100</v>
      </c>
      <c r="G3" s="6"/>
      <c r="H3" s="6"/>
      <c r="I3" s="6"/>
      <c r="J3" s="6"/>
    </row>
    <row r="4" spans="1:10" x14ac:dyDescent="0.2">
      <c r="A4" s="20"/>
      <c r="B4" s="24">
        <v>1.2999999999999999E-4</v>
      </c>
      <c r="C4" s="60">
        <v>0</v>
      </c>
      <c r="D4" s="60">
        <v>100</v>
      </c>
      <c r="E4" s="60">
        <f t="shared" ref="E4:E38" si="0">C4+D4</f>
        <v>100</v>
      </c>
      <c r="F4" s="6">
        <f t="shared" ref="F4:F8" si="1">D4/E4 *100</f>
        <v>100</v>
      </c>
      <c r="G4" s="6"/>
      <c r="H4" s="6"/>
      <c r="I4" s="6"/>
      <c r="J4" s="6">
        <f>100-((F4*100)/100)</f>
        <v>0</v>
      </c>
    </row>
    <row r="5" spans="1:10" x14ac:dyDescent="0.2">
      <c r="A5" s="20"/>
      <c r="B5" s="24">
        <v>6.4000000000000005E-4</v>
      </c>
      <c r="C5" s="60">
        <v>4</v>
      </c>
      <c r="D5" s="60">
        <v>96</v>
      </c>
      <c r="E5" s="60">
        <f t="shared" si="0"/>
        <v>100</v>
      </c>
      <c r="F5" s="6">
        <f t="shared" si="1"/>
        <v>96</v>
      </c>
      <c r="G5" s="6"/>
      <c r="H5" s="6"/>
      <c r="I5" s="6"/>
      <c r="J5" s="6">
        <f t="shared" ref="J5:J8" si="2">100-((F5*100)/100)</f>
        <v>4</v>
      </c>
    </row>
    <row r="6" spans="1:10" x14ac:dyDescent="0.2">
      <c r="A6" s="20"/>
      <c r="B6" s="24">
        <v>3.2000000000000002E-3</v>
      </c>
      <c r="C6" s="60">
        <f>100-D6</f>
        <v>17</v>
      </c>
      <c r="D6" s="60">
        <v>83</v>
      </c>
      <c r="E6" s="60">
        <f t="shared" si="0"/>
        <v>100</v>
      </c>
      <c r="F6" s="6">
        <f t="shared" si="1"/>
        <v>83</v>
      </c>
      <c r="G6" s="6"/>
      <c r="H6" s="6"/>
      <c r="I6" s="6"/>
      <c r="J6" s="6">
        <f t="shared" si="2"/>
        <v>17</v>
      </c>
    </row>
    <row r="7" spans="1:10" x14ac:dyDescent="0.2">
      <c r="A7" s="20"/>
      <c r="B7" s="24">
        <v>1.6E-2</v>
      </c>
      <c r="C7" s="60">
        <v>23</v>
      </c>
      <c r="D7" s="60">
        <f>100-C7</f>
        <v>77</v>
      </c>
      <c r="E7" s="60">
        <f t="shared" si="0"/>
        <v>100</v>
      </c>
      <c r="F7" s="6">
        <f t="shared" si="1"/>
        <v>77</v>
      </c>
      <c r="G7" s="6"/>
      <c r="H7" s="6"/>
      <c r="I7" s="6"/>
      <c r="J7" s="6">
        <f t="shared" si="2"/>
        <v>23</v>
      </c>
    </row>
    <row r="8" spans="1:10" x14ac:dyDescent="0.2">
      <c r="A8" s="20"/>
      <c r="B8" s="24">
        <v>0.08</v>
      </c>
      <c r="C8" s="60">
        <v>100</v>
      </c>
      <c r="D8" s="60">
        <v>0</v>
      </c>
      <c r="E8" s="60">
        <f t="shared" si="0"/>
        <v>100</v>
      </c>
      <c r="F8" s="6">
        <f t="shared" si="1"/>
        <v>0</v>
      </c>
      <c r="G8" s="6"/>
      <c r="H8" s="6"/>
      <c r="I8" s="6"/>
      <c r="J8" s="6">
        <f t="shared" si="2"/>
        <v>100</v>
      </c>
    </row>
    <row r="9" spans="1:10" x14ac:dyDescent="0.2">
      <c r="A9" s="20" t="s">
        <v>14</v>
      </c>
      <c r="B9" s="24">
        <v>0</v>
      </c>
      <c r="C9" s="60">
        <v>2</v>
      </c>
      <c r="D9" s="60">
        <v>83</v>
      </c>
      <c r="E9" s="60">
        <f t="shared" si="0"/>
        <v>85</v>
      </c>
      <c r="F9" s="6">
        <f t="shared" ref="F9:F38" si="3">(D9/E9)*100</f>
        <v>97.647058823529406</v>
      </c>
      <c r="G9" s="6"/>
      <c r="H9" s="6"/>
      <c r="I9" s="6"/>
      <c r="J9" s="6"/>
    </row>
    <row r="10" spans="1:10" x14ac:dyDescent="0.2">
      <c r="A10" s="20"/>
      <c r="B10" s="24">
        <v>1.2999999999999999E-4</v>
      </c>
      <c r="C10" s="60">
        <v>21</v>
      </c>
      <c r="D10" s="60">
        <v>63</v>
      </c>
      <c r="E10" s="60">
        <f t="shared" si="0"/>
        <v>84</v>
      </c>
      <c r="F10" s="6">
        <f t="shared" si="3"/>
        <v>75</v>
      </c>
      <c r="G10" s="6"/>
      <c r="H10" s="6"/>
      <c r="I10" s="6"/>
      <c r="J10" s="6">
        <f>100-((F10*100)/97.65)</f>
        <v>23.195084485407065</v>
      </c>
    </row>
    <row r="11" spans="1:10" x14ac:dyDescent="0.2">
      <c r="A11" s="20"/>
      <c r="B11" s="24">
        <v>6.4000000000000005E-4</v>
      </c>
      <c r="C11" s="60">
        <v>20</v>
      </c>
      <c r="D11" s="60">
        <v>65</v>
      </c>
      <c r="E11" s="60">
        <f t="shared" si="0"/>
        <v>85</v>
      </c>
      <c r="F11" s="6">
        <f t="shared" si="3"/>
        <v>76.470588235294116</v>
      </c>
      <c r="G11" s="6"/>
      <c r="H11" s="6"/>
      <c r="I11" s="6"/>
      <c r="J11" s="6">
        <f t="shared" ref="J11:J14" si="4">100-((F11*100)/97.65)</f>
        <v>21.689105749826822</v>
      </c>
    </row>
    <row r="12" spans="1:10" x14ac:dyDescent="0.2">
      <c r="A12" s="20"/>
      <c r="B12" s="24">
        <v>3.2000000000000002E-3</v>
      </c>
      <c r="C12" s="60">
        <v>21</v>
      </c>
      <c r="D12" s="60">
        <v>60</v>
      </c>
      <c r="E12" s="60">
        <f t="shared" si="0"/>
        <v>81</v>
      </c>
      <c r="F12" s="6">
        <f t="shared" si="3"/>
        <v>74.074074074074076</v>
      </c>
      <c r="G12" s="6"/>
      <c r="H12" s="6"/>
      <c r="I12" s="6"/>
      <c r="J12" s="6">
        <f t="shared" si="4"/>
        <v>24.143293318920556</v>
      </c>
    </row>
    <row r="13" spans="1:10" x14ac:dyDescent="0.2">
      <c r="A13" s="20"/>
      <c r="B13" s="24">
        <v>1.6E-2</v>
      </c>
      <c r="C13" s="60">
        <v>15</v>
      </c>
      <c r="D13" s="60">
        <v>68</v>
      </c>
      <c r="E13" s="60">
        <f t="shared" si="0"/>
        <v>83</v>
      </c>
      <c r="F13" s="6">
        <f t="shared" si="3"/>
        <v>81.92771084337349</v>
      </c>
      <c r="G13" s="6"/>
      <c r="H13" s="6"/>
      <c r="I13" s="6"/>
      <c r="J13" s="6">
        <f t="shared" si="4"/>
        <v>16.10065453827599</v>
      </c>
    </row>
    <row r="14" spans="1:10" x14ac:dyDescent="0.2">
      <c r="A14" s="20"/>
      <c r="B14" s="24">
        <v>0.08</v>
      </c>
      <c r="C14" s="60">
        <v>78</v>
      </c>
      <c r="D14" s="60">
        <v>9</v>
      </c>
      <c r="E14" s="60">
        <f t="shared" si="0"/>
        <v>87</v>
      </c>
      <c r="F14" s="6">
        <f t="shared" si="3"/>
        <v>10.344827586206897</v>
      </c>
      <c r="G14" s="6"/>
      <c r="H14" s="6"/>
      <c r="I14" s="6"/>
      <c r="J14" s="6">
        <f t="shared" si="4"/>
        <v>89.406218549711326</v>
      </c>
    </row>
    <row r="15" spans="1:10" x14ac:dyDescent="0.2">
      <c r="A15" s="20" t="s">
        <v>11</v>
      </c>
      <c r="B15" s="24">
        <v>0</v>
      </c>
      <c r="C15" s="60">
        <v>7</v>
      </c>
      <c r="D15" s="60">
        <v>79</v>
      </c>
      <c r="E15" s="60">
        <f t="shared" si="0"/>
        <v>86</v>
      </c>
      <c r="F15" s="6">
        <f t="shared" si="3"/>
        <v>91.860465116279073</v>
      </c>
      <c r="G15" s="6">
        <f>(C15/E15) *100</f>
        <v>8.1395348837209305</v>
      </c>
      <c r="H15" s="6"/>
      <c r="I15" s="6"/>
      <c r="J15" s="6"/>
    </row>
    <row r="16" spans="1:10" x14ac:dyDescent="0.2">
      <c r="A16" s="20"/>
      <c r="B16" s="24">
        <v>1.2999999999999999E-4</v>
      </c>
      <c r="C16" s="60">
        <v>3</v>
      </c>
      <c r="D16" s="60">
        <v>81</v>
      </c>
      <c r="E16" s="60">
        <f t="shared" si="0"/>
        <v>84</v>
      </c>
      <c r="F16" s="6">
        <f t="shared" si="3"/>
        <v>96.428571428571431</v>
      </c>
      <c r="G16" s="6">
        <f t="shared" ref="G16:G20" si="5">(C16/E16) *100</f>
        <v>3.5714285714285712</v>
      </c>
      <c r="H16" s="6">
        <v>0</v>
      </c>
      <c r="I16" s="6">
        <f>(E16-H16)/E16 *100</f>
        <v>100</v>
      </c>
      <c r="J16" s="6">
        <f>100-((I16*100)/100)</f>
        <v>0</v>
      </c>
    </row>
    <row r="17" spans="1:10" x14ac:dyDescent="0.2">
      <c r="A17" s="20"/>
      <c r="B17" s="24">
        <v>6.4000000000000005E-4</v>
      </c>
      <c r="C17" s="60">
        <v>0</v>
      </c>
      <c r="D17" s="60">
        <v>84</v>
      </c>
      <c r="E17" s="60">
        <f t="shared" si="0"/>
        <v>84</v>
      </c>
      <c r="F17" s="6">
        <f t="shared" si="3"/>
        <v>100</v>
      </c>
      <c r="G17" s="6">
        <f t="shared" si="5"/>
        <v>0</v>
      </c>
      <c r="H17" s="6">
        <v>0</v>
      </c>
      <c r="I17" s="6">
        <f t="shared" ref="I17:I20" si="6">(E17-H17)/E17 *100</f>
        <v>100</v>
      </c>
      <c r="J17" s="6">
        <f t="shared" ref="J17:J20" si="7">100-((I17*100)/100)</f>
        <v>0</v>
      </c>
    </row>
    <row r="18" spans="1:10" x14ac:dyDescent="0.2">
      <c r="A18" s="20"/>
      <c r="B18" s="24">
        <v>3.2000000000000002E-3</v>
      </c>
      <c r="C18" s="60">
        <v>4</v>
      </c>
      <c r="D18" s="60">
        <v>78</v>
      </c>
      <c r="E18" s="60">
        <f t="shared" si="0"/>
        <v>82</v>
      </c>
      <c r="F18" s="6">
        <f t="shared" si="3"/>
        <v>95.121951219512198</v>
      </c>
      <c r="G18" s="6">
        <f t="shared" si="5"/>
        <v>4.8780487804878048</v>
      </c>
      <c r="H18" s="6">
        <v>0</v>
      </c>
      <c r="I18" s="6">
        <f t="shared" si="6"/>
        <v>100</v>
      </c>
      <c r="J18" s="6">
        <f t="shared" si="7"/>
        <v>0</v>
      </c>
    </row>
    <row r="19" spans="1:10" x14ac:dyDescent="0.2">
      <c r="A19" s="20"/>
      <c r="B19" s="24">
        <v>1.6E-2</v>
      </c>
      <c r="C19" s="60">
        <v>4</v>
      </c>
      <c r="D19" s="60">
        <v>79</v>
      </c>
      <c r="E19" s="60">
        <f t="shared" si="0"/>
        <v>83</v>
      </c>
      <c r="F19" s="6">
        <f t="shared" si="3"/>
        <v>95.180722891566262</v>
      </c>
      <c r="G19" s="6">
        <f t="shared" si="5"/>
        <v>4.8192771084337354</v>
      </c>
      <c r="H19" s="6">
        <v>0</v>
      </c>
      <c r="I19" s="6">
        <f t="shared" si="6"/>
        <v>100</v>
      </c>
      <c r="J19" s="6">
        <f t="shared" si="7"/>
        <v>0</v>
      </c>
    </row>
    <row r="20" spans="1:10" x14ac:dyDescent="0.2">
      <c r="A20" s="20"/>
      <c r="B20" s="24">
        <v>0.08</v>
      </c>
      <c r="C20" s="60">
        <v>110</v>
      </c>
      <c r="D20" s="60">
        <v>0</v>
      </c>
      <c r="E20" s="60">
        <f t="shared" si="0"/>
        <v>110</v>
      </c>
      <c r="F20" s="6">
        <f t="shared" si="3"/>
        <v>0</v>
      </c>
      <c r="G20" s="6">
        <f t="shared" si="5"/>
        <v>100</v>
      </c>
      <c r="H20" s="6">
        <f t="shared" ref="H20" si="8">((G20-8.14)/(100-8.14))*100</f>
        <v>100</v>
      </c>
      <c r="I20" s="6">
        <f t="shared" si="6"/>
        <v>9.0909090909090917</v>
      </c>
      <c r="J20" s="6">
        <f t="shared" si="7"/>
        <v>90.909090909090907</v>
      </c>
    </row>
    <row r="21" spans="1:10" x14ac:dyDescent="0.2">
      <c r="A21" s="20" t="s">
        <v>3</v>
      </c>
      <c r="B21" s="24">
        <v>0</v>
      </c>
      <c r="C21" s="60">
        <v>4</v>
      </c>
      <c r="D21" s="60">
        <v>79</v>
      </c>
      <c r="E21" s="60">
        <f t="shared" si="0"/>
        <v>83</v>
      </c>
      <c r="F21" s="6">
        <f t="shared" si="3"/>
        <v>95.180722891566262</v>
      </c>
      <c r="G21" s="6"/>
      <c r="H21" s="6"/>
      <c r="I21" s="6"/>
      <c r="J21" s="6"/>
    </row>
    <row r="22" spans="1:10" x14ac:dyDescent="0.2">
      <c r="A22" s="20"/>
      <c r="B22" s="24">
        <v>1.2999999999999999E-4</v>
      </c>
      <c r="C22" s="60">
        <v>19</v>
      </c>
      <c r="D22" s="60">
        <v>61</v>
      </c>
      <c r="E22" s="60">
        <f t="shared" si="0"/>
        <v>80</v>
      </c>
      <c r="F22" s="6">
        <f t="shared" si="3"/>
        <v>76.25</v>
      </c>
      <c r="G22" s="6"/>
      <c r="H22" s="6"/>
      <c r="I22" s="6"/>
      <c r="J22" s="6">
        <f>100-((F22*100)/95.18)</f>
        <v>19.888632065560003</v>
      </c>
    </row>
    <row r="23" spans="1:10" x14ac:dyDescent="0.2">
      <c r="A23" s="20"/>
      <c r="B23" s="24">
        <v>6.4000000000000005E-4</v>
      </c>
      <c r="C23" s="60">
        <v>5</v>
      </c>
      <c r="D23" s="60">
        <v>75</v>
      </c>
      <c r="E23" s="60">
        <f t="shared" si="0"/>
        <v>80</v>
      </c>
      <c r="F23" s="6">
        <f t="shared" si="3"/>
        <v>93.75</v>
      </c>
      <c r="G23" s="6"/>
      <c r="H23" s="6"/>
      <c r="I23" s="6"/>
      <c r="J23" s="6">
        <f t="shared" ref="J23:J26" si="9">100-((F23*100)/95.18)</f>
        <v>1.5024164740491841</v>
      </c>
    </row>
    <row r="24" spans="1:10" x14ac:dyDescent="0.2">
      <c r="A24" s="20"/>
      <c r="B24" s="24">
        <v>3.2000000000000002E-3</v>
      </c>
      <c r="C24" s="60">
        <v>14</v>
      </c>
      <c r="D24" s="60">
        <v>66</v>
      </c>
      <c r="E24" s="60">
        <f t="shared" si="0"/>
        <v>80</v>
      </c>
      <c r="F24" s="6">
        <f t="shared" si="3"/>
        <v>82.5</v>
      </c>
      <c r="G24" s="6"/>
      <c r="H24" s="6"/>
      <c r="I24" s="6"/>
      <c r="J24" s="6">
        <f t="shared" si="9"/>
        <v>13.322126497163282</v>
      </c>
    </row>
    <row r="25" spans="1:10" x14ac:dyDescent="0.2">
      <c r="A25" s="20"/>
      <c r="B25" s="24">
        <v>1.6E-2</v>
      </c>
      <c r="C25" s="60">
        <v>26</v>
      </c>
      <c r="D25" s="60">
        <v>55</v>
      </c>
      <c r="E25" s="60">
        <f t="shared" si="0"/>
        <v>81</v>
      </c>
      <c r="F25" s="6">
        <f t="shared" si="3"/>
        <v>67.901234567901241</v>
      </c>
      <c r="G25" s="6"/>
      <c r="H25" s="6"/>
      <c r="I25" s="6"/>
      <c r="J25" s="6">
        <f t="shared" si="9"/>
        <v>28.660186417418331</v>
      </c>
    </row>
    <row r="26" spans="1:10" x14ac:dyDescent="0.2">
      <c r="A26" s="20"/>
      <c r="B26" s="24">
        <v>0.08</v>
      </c>
      <c r="C26" s="60">
        <v>93</v>
      </c>
      <c r="D26" s="60">
        <v>0</v>
      </c>
      <c r="E26" s="60">
        <f t="shared" si="0"/>
        <v>93</v>
      </c>
      <c r="F26" s="6">
        <f t="shared" si="3"/>
        <v>0</v>
      </c>
      <c r="G26" s="6"/>
      <c r="H26" s="6"/>
      <c r="I26" s="6"/>
      <c r="J26" s="6">
        <f t="shared" si="9"/>
        <v>100</v>
      </c>
    </row>
    <row r="27" spans="1:10" x14ac:dyDescent="0.2">
      <c r="A27" s="20" t="s">
        <v>10</v>
      </c>
      <c r="B27" s="24">
        <v>0</v>
      </c>
      <c r="C27" s="60">
        <v>4</v>
      </c>
      <c r="D27" s="60">
        <v>76</v>
      </c>
      <c r="E27" s="60">
        <f t="shared" si="0"/>
        <v>80</v>
      </c>
      <c r="F27" s="6">
        <f t="shared" si="3"/>
        <v>95</v>
      </c>
      <c r="G27" s="6"/>
      <c r="H27" s="6"/>
      <c r="I27" s="6"/>
      <c r="J27" s="6"/>
    </row>
    <row r="28" spans="1:10" x14ac:dyDescent="0.2">
      <c r="A28" s="20"/>
      <c r="B28" s="24">
        <v>1.2999999999999999E-4</v>
      </c>
      <c r="C28" s="60">
        <v>17</v>
      </c>
      <c r="D28" s="60">
        <v>68</v>
      </c>
      <c r="E28" s="60">
        <f t="shared" si="0"/>
        <v>85</v>
      </c>
      <c r="F28" s="6">
        <f t="shared" si="3"/>
        <v>80</v>
      </c>
      <c r="G28" s="6"/>
      <c r="H28" s="6"/>
      <c r="I28" s="6"/>
      <c r="J28" s="6">
        <f>100-((F28*100)/95)</f>
        <v>15.78947368421052</v>
      </c>
    </row>
    <row r="29" spans="1:10" x14ac:dyDescent="0.2">
      <c r="A29" s="20"/>
      <c r="B29" s="24">
        <v>6.4000000000000005E-4</v>
      </c>
      <c r="C29" s="60">
        <v>19</v>
      </c>
      <c r="D29" s="60">
        <v>60</v>
      </c>
      <c r="E29" s="60">
        <f t="shared" si="0"/>
        <v>79</v>
      </c>
      <c r="F29" s="6">
        <f t="shared" si="3"/>
        <v>75.949367088607602</v>
      </c>
      <c r="G29" s="6"/>
      <c r="H29" s="6"/>
      <c r="I29" s="6"/>
      <c r="J29" s="6">
        <f t="shared" ref="J29:J32" si="10">100-((F29*100)/95)</f>
        <v>20.053297801465675</v>
      </c>
    </row>
    <row r="30" spans="1:10" x14ac:dyDescent="0.2">
      <c r="A30" s="20"/>
      <c r="B30" s="24">
        <v>3.2000000000000002E-3</v>
      </c>
      <c r="C30" s="60">
        <v>18</v>
      </c>
      <c r="D30" s="60">
        <v>68</v>
      </c>
      <c r="E30" s="60">
        <f t="shared" si="0"/>
        <v>86</v>
      </c>
      <c r="F30" s="6">
        <f t="shared" si="3"/>
        <v>79.069767441860463</v>
      </c>
      <c r="G30" s="6"/>
      <c r="H30" s="6"/>
      <c r="I30" s="6"/>
      <c r="J30" s="6">
        <f t="shared" si="10"/>
        <v>16.768665850673187</v>
      </c>
    </row>
    <row r="31" spans="1:10" x14ac:dyDescent="0.2">
      <c r="A31" s="20"/>
      <c r="B31" s="24">
        <v>1.6E-2</v>
      </c>
      <c r="C31" s="60">
        <v>19</v>
      </c>
      <c r="D31" s="60">
        <v>57</v>
      </c>
      <c r="E31" s="60">
        <f t="shared" si="0"/>
        <v>76</v>
      </c>
      <c r="F31" s="6">
        <f t="shared" si="3"/>
        <v>75</v>
      </c>
      <c r="G31" s="6"/>
      <c r="H31" s="6"/>
      <c r="I31" s="6"/>
      <c r="J31" s="6">
        <f t="shared" si="10"/>
        <v>21.05263157894737</v>
      </c>
    </row>
    <row r="32" spans="1:10" x14ac:dyDescent="0.2">
      <c r="A32" s="20"/>
      <c r="B32" s="24">
        <v>0.08</v>
      </c>
      <c r="C32" s="60">
        <v>82</v>
      </c>
      <c r="D32" s="60">
        <v>7</v>
      </c>
      <c r="E32" s="60">
        <f t="shared" si="0"/>
        <v>89</v>
      </c>
      <c r="F32" s="6">
        <f t="shared" si="3"/>
        <v>7.8651685393258424</v>
      </c>
      <c r="G32" s="6"/>
      <c r="H32" s="6"/>
      <c r="I32" s="6"/>
      <c r="J32" s="6">
        <f t="shared" si="10"/>
        <v>91.72087522176227</v>
      </c>
    </row>
    <row r="33" spans="1:10" x14ac:dyDescent="0.2">
      <c r="A33" s="20" t="s">
        <v>16</v>
      </c>
      <c r="B33" s="24">
        <v>0</v>
      </c>
      <c r="C33" s="60">
        <v>0</v>
      </c>
      <c r="D33" s="60">
        <f>60-C33</f>
        <v>60</v>
      </c>
      <c r="E33" s="60">
        <f t="shared" si="0"/>
        <v>60</v>
      </c>
      <c r="F33" s="6">
        <f t="shared" si="3"/>
        <v>100</v>
      </c>
      <c r="G33" s="6"/>
      <c r="H33" s="6"/>
      <c r="I33" s="6"/>
      <c r="J33" s="6"/>
    </row>
    <row r="34" spans="1:10" x14ac:dyDescent="0.2">
      <c r="A34" s="20"/>
      <c r="B34" s="24">
        <v>1.2999999999999999E-4</v>
      </c>
      <c r="C34" s="60">
        <f>9+3+4</f>
        <v>16</v>
      </c>
      <c r="D34" s="60">
        <f t="shared" ref="D34:D38" si="11">60-C34</f>
        <v>44</v>
      </c>
      <c r="E34" s="60">
        <f t="shared" si="0"/>
        <v>60</v>
      </c>
      <c r="F34" s="6">
        <f t="shared" si="3"/>
        <v>73.333333333333329</v>
      </c>
      <c r="G34" s="6"/>
      <c r="H34" s="6"/>
      <c r="I34" s="6"/>
      <c r="J34" s="6">
        <f>100-((F34*100)/100)</f>
        <v>26.666666666666671</v>
      </c>
    </row>
    <row r="35" spans="1:10" x14ac:dyDescent="0.2">
      <c r="A35" s="20"/>
      <c r="B35" s="24">
        <v>6.4000000000000005E-4</v>
      </c>
      <c r="C35" s="60">
        <v>4</v>
      </c>
      <c r="D35" s="60">
        <f t="shared" si="11"/>
        <v>56</v>
      </c>
      <c r="E35" s="60">
        <f t="shared" si="0"/>
        <v>60</v>
      </c>
      <c r="F35" s="6">
        <f t="shared" si="3"/>
        <v>93.333333333333329</v>
      </c>
      <c r="G35" s="6"/>
      <c r="H35" s="6"/>
      <c r="I35" s="6"/>
      <c r="J35" s="6">
        <f t="shared" ref="J35:J38" si="12">100-((F35*100)/100)</f>
        <v>6.6666666666666856</v>
      </c>
    </row>
    <row r="36" spans="1:10" x14ac:dyDescent="0.2">
      <c r="A36" s="20"/>
      <c r="B36" s="24">
        <v>3.2000000000000002E-3</v>
      </c>
      <c r="C36" s="60">
        <v>22</v>
      </c>
      <c r="D36" s="60">
        <f t="shared" si="11"/>
        <v>38</v>
      </c>
      <c r="E36" s="60">
        <f t="shared" si="0"/>
        <v>60</v>
      </c>
      <c r="F36" s="6">
        <f t="shared" si="3"/>
        <v>63.333333333333329</v>
      </c>
      <c r="G36" s="6"/>
      <c r="H36" s="6"/>
      <c r="I36" s="6"/>
      <c r="J36" s="6">
        <f t="shared" si="12"/>
        <v>36.666666666666671</v>
      </c>
    </row>
    <row r="37" spans="1:10" x14ac:dyDescent="0.2">
      <c r="A37" s="20"/>
      <c r="B37" s="24">
        <v>1.6E-2</v>
      </c>
      <c r="C37" s="60">
        <v>60</v>
      </c>
      <c r="D37" s="60">
        <f t="shared" si="11"/>
        <v>0</v>
      </c>
      <c r="E37" s="60">
        <f t="shared" si="0"/>
        <v>60</v>
      </c>
      <c r="F37" s="6">
        <f t="shared" si="3"/>
        <v>0</v>
      </c>
      <c r="G37" s="6"/>
      <c r="H37" s="6"/>
      <c r="I37" s="6"/>
      <c r="J37" s="6">
        <f t="shared" si="12"/>
        <v>100</v>
      </c>
    </row>
    <row r="38" spans="1:10" x14ac:dyDescent="0.2">
      <c r="A38" s="20"/>
      <c r="B38" s="24">
        <v>0.08</v>
      </c>
      <c r="C38" s="60">
        <v>60</v>
      </c>
      <c r="D38" s="60">
        <f t="shared" si="11"/>
        <v>0</v>
      </c>
      <c r="E38" s="60">
        <f t="shared" si="0"/>
        <v>60</v>
      </c>
      <c r="F38" s="6">
        <f t="shared" si="3"/>
        <v>0</v>
      </c>
      <c r="G38" s="6"/>
      <c r="H38" s="6"/>
      <c r="I38" s="6"/>
      <c r="J38" s="6">
        <f t="shared" si="12"/>
        <v>100</v>
      </c>
    </row>
    <row r="39" spans="1:10" x14ac:dyDescent="0.2">
      <c r="A39" s="20" t="s">
        <v>30</v>
      </c>
      <c r="B39" s="24">
        <v>0</v>
      </c>
      <c r="C39" s="60">
        <v>0</v>
      </c>
      <c r="D39" s="60">
        <v>60</v>
      </c>
      <c r="E39" s="60">
        <f>C39+D39</f>
        <v>60</v>
      </c>
      <c r="F39" s="6">
        <f>D39/E39 *100</f>
        <v>100</v>
      </c>
      <c r="G39" s="6"/>
      <c r="H39" s="6"/>
      <c r="I39" s="6"/>
      <c r="J39" s="6"/>
    </row>
    <row r="40" spans="1:10" x14ac:dyDescent="0.2">
      <c r="A40" s="20"/>
      <c r="B40" s="24">
        <v>1.2999999999999999E-4</v>
      </c>
      <c r="C40" s="60">
        <v>46</v>
      </c>
      <c r="D40" s="60">
        <v>14</v>
      </c>
      <c r="E40" s="60">
        <f t="shared" ref="E40:E44" si="13">C40+D40</f>
        <v>60</v>
      </c>
      <c r="F40" s="6">
        <f t="shared" ref="F40:F44" si="14">D40/E40 *100</f>
        <v>23.333333333333332</v>
      </c>
      <c r="G40" s="6"/>
      <c r="H40" s="6"/>
      <c r="I40" s="6"/>
      <c r="J40" s="6">
        <f>100-((F40*100)/100)</f>
        <v>76.666666666666671</v>
      </c>
    </row>
    <row r="41" spans="1:10" x14ac:dyDescent="0.2">
      <c r="A41" s="20"/>
      <c r="B41" s="24">
        <v>6.4000000000000005E-4</v>
      </c>
      <c r="C41" s="60">
        <v>54</v>
      </c>
      <c r="D41" s="60">
        <v>6</v>
      </c>
      <c r="E41" s="60">
        <f t="shared" si="13"/>
        <v>60</v>
      </c>
      <c r="F41" s="6">
        <f t="shared" si="14"/>
        <v>10</v>
      </c>
      <c r="G41" s="6"/>
      <c r="H41" s="6"/>
      <c r="I41" s="6"/>
      <c r="J41" s="6">
        <f t="shared" ref="J41:J44" si="15">100-((F41*100)/100)</f>
        <v>90</v>
      </c>
    </row>
    <row r="42" spans="1:10" x14ac:dyDescent="0.2">
      <c r="A42" s="20"/>
      <c r="B42" s="24">
        <v>3.2000000000000002E-3</v>
      </c>
      <c r="C42" s="60">
        <v>60</v>
      </c>
      <c r="D42" s="60">
        <v>0</v>
      </c>
      <c r="E42" s="60">
        <f t="shared" si="13"/>
        <v>60</v>
      </c>
      <c r="F42" s="6">
        <f t="shared" si="14"/>
        <v>0</v>
      </c>
      <c r="G42" s="6"/>
      <c r="H42" s="6"/>
      <c r="I42" s="6"/>
      <c r="J42" s="6">
        <f t="shared" si="15"/>
        <v>100</v>
      </c>
    </row>
    <row r="43" spans="1:10" x14ac:dyDescent="0.2">
      <c r="A43" s="20"/>
      <c r="B43" s="24">
        <v>1.6E-2</v>
      </c>
      <c r="C43" s="60">
        <v>60</v>
      </c>
      <c r="D43" s="60">
        <v>0</v>
      </c>
      <c r="E43" s="60">
        <f t="shared" si="13"/>
        <v>60</v>
      </c>
      <c r="F43" s="6">
        <f t="shared" si="14"/>
        <v>0</v>
      </c>
      <c r="G43" s="6"/>
      <c r="H43" s="6"/>
      <c r="I43" s="6"/>
      <c r="J43" s="6">
        <f t="shared" si="15"/>
        <v>100</v>
      </c>
    </row>
    <row r="44" spans="1:10" x14ac:dyDescent="0.2">
      <c r="A44" s="20"/>
      <c r="B44" s="24">
        <v>0.08</v>
      </c>
      <c r="C44" s="60">
        <v>60</v>
      </c>
      <c r="D44" s="60">
        <v>0</v>
      </c>
      <c r="E44" s="60">
        <f t="shared" si="13"/>
        <v>60</v>
      </c>
      <c r="F44" s="6">
        <f t="shared" si="14"/>
        <v>0</v>
      </c>
      <c r="G44" s="6"/>
      <c r="H44" s="6"/>
      <c r="I44" s="6"/>
      <c r="J44" s="6">
        <f t="shared" si="15"/>
        <v>100</v>
      </c>
    </row>
    <row r="47" spans="1:10" x14ac:dyDescent="0.2">
      <c r="A47" s="19" t="s">
        <v>46</v>
      </c>
    </row>
    <row r="49" spans="1:1" x14ac:dyDescent="0.2">
      <c r="A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Temephos Percentage</vt:lpstr>
      <vt:lpstr>Temephos Raw Data</vt:lpstr>
      <vt:lpstr>Bti Percentage</vt:lpstr>
      <vt:lpstr>Bti Raw Data</vt:lpstr>
      <vt:lpstr>Methoprene</vt:lpstr>
      <vt:lpstr>Diflubenzuron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2019-10-23T15:35:25Z</dcterms:created>
  <dcterms:modified xsi:type="dcterms:W3CDTF">2020-04-01T00:59:22Z</dcterms:modified>
</cp:coreProperties>
</file>