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 Butt.UCPRC\Box\NCST-Caltrans GHG Local Govs\Case_studies\Data_Management\"/>
    </mc:Choice>
  </mc:AlternateContent>
  <bookViews>
    <workbookView xWindow="1600" yWindow="1000" windowWidth="27000" windowHeight="16040" activeTab="2"/>
  </bookViews>
  <sheets>
    <sheet name="LCI" sheetId="1" r:id="rId1"/>
    <sheet name="Power Mix and Emissions" sheetId="2" r:id="rId2"/>
    <sheet name="Emiss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" l="1"/>
  <c r="F27" i="2"/>
  <c r="E27" i="2"/>
  <c r="D27" i="2"/>
  <c r="C27" i="2"/>
  <c r="V5" i="1" l="1"/>
  <c r="U5" i="1"/>
  <c r="T5" i="1"/>
  <c r="O5" i="1"/>
  <c r="B12" i="2" l="1"/>
  <c r="I19" i="2" l="1"/>
  <c r="I13" i="2" l="1"/>
  <c r="C32" i="4" l="1"/>
  <c r="I5" i="4" l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D30" i="2"/>
  <c r="I8" i="4" s="1"/>
  <c r="E30" i="2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P7" i="4" l="1"/>
  <c r="H7" i="4"/>
  <c r="H11" i="4" s="1"/>
  <c r="I12" i="4"/>
  <c r="H20" i="4"/>
  <c r="H24" i="4" s="1"/>
  <c r="P11" i="4"/>
  <c r="N7" i="4"/>
  <c r="N11" i="4" s="1"/>
  <c r="J7" i="4"/>
  <c r="J11" i="4" s="1"/>
  <c r="AE7" i="4"/>
  <c r="AE11" i="4" s="1"/>
  <c r="AA7" i="4"/>
  <c r="AA11" i="4" s="1"/>
  <c r="W7" i="4"/>
  <c r="W11" i="4" s="1"/>
  <c r="S7" i="4"/>
  <c r="S11" i="4" s="1"/>
  <c r="O7" i="4"/>
  <c r="O11" i="4" s="1"/>
  <c r="AF8" i="4"/>
  <c r="AF12" i="4" s="1"/>
  <c r="AB8" i="4"/>
  <c r="AB12" i="4" s="1"/>
  <c r="X8" i="4"/>
  <c r="X12" i="4" s="1"/>
  <c r="T8" i="4"/>
  <c r="T12" i="4" s="1"/>
  <c r="P8" i="4"/>
  <c r="P12" i="4" s="1"/>
  <c r="L8" i="4"/>
  <c r="L12" i="4" s="1"/>
  <c r="M7" i="4"/>
  <c r="M11" i="4" s="1"/>
  <c r="I7" i="4"/>
  <c r="I11" i="4" s="1"/>
  <c r="AD7" i="4"/>
  <c r="AD11" i="4" s="1"/>
  <c r="Z7" i="4"/>
  <c r="Z11" i="4" s="1"/>
  <c r="V7" i="4"/>
  <c r="V11" i="4" s="1"/>
  <c r="R7" i="4"/>
  <c r="R11" i="4" s="1"/>
  <c r="AE8" i="4"/>
  <c r="AE12" i="4" s="1"/>
  <c r="AA8" i="4"/>
  <c r="AA12" i="4" s="1"/>
  <c r="W8" i="4"/>
  <c r="W12" i="4" s="1"/>
  <c r="S8" i="4"/>
  <c r="S12" i="4" s="1"/>
  <c r="O8" i="4"/>
  <c r="O12" i="4" s="1"/>
  <c r="K8" i="4"/>
  <c r="K12" i="4" s="1"/>
  <c r="H19" i="4"/>
  <c r="H23" i="4" s="1"/>
  <c r="L7" i="4"/>
  <c r="L11" i="4" s="1"/>
  <c r="AG7" i="4"/>
  <c r="AG11" i="4" s="1"/>
  <c r="AC7" i="4"/>
  <c r="AC11" i="4" s="1"/>
  <c r="Y7" i="4"/>
  <c r="Y11" i="4" s="1"/>
  <c r="U7" i="4"/>
  <c r="U11" i="4" s="1"/>
  <c r="Q7" i="4"/>
  <c r="Q11" i="4" s="1"/>
  <c r="H8" i="4"/>
  <c r="H12" i="4" s="1"/>
  <c r="AD8" i="4"/>
  <c r="AD12" i="4" s="1"/>
  <c r="Z8" i="4"/>
  <c r="Z12" i="4" s="1"/>
  <c r="V8" i="4"/>
  <c r="V12" i="4" s="1"/>
  <c r="R8" i="4"/>
  <c r="R12" i="4" s="1"/>
  <c r="N8" i="4"/>
  <c r="N12" i="4" s="1"/>
  <c r="J8" i="4"/>
  <c r="J12" i="4" s="1"/>
  <c r="K7" i="4"/>
  <c r="K11" i="4" s="1"/>
  <c r="AF7" i="4"/>
  <c r="AF11" i="4" s="1"/>
  <c r="AB7" i="4"/>
  <c r="AB11" i="4" s="1"/>
  <c r="X7" i="4"/>
  <c r="X11" i="4" s="1"/>
  <c r="T7" i="4"/>
  <c r="T11" i="4" s="1"/>
  <c r="AG8" i="4"/>
  <c r="AG12" i="4" s="1"/>
  <c r="AC8" i="4"/>
  <c r="AC12" i="4" s="1"/>
  <c r="Y8" i="4"/>
  <c r="Y12" i="4" s="1"/>
  <c r="U8" i="4"/>
  <c r="U12" i="4" s="1"/>
  <c r="Q8" i="4"/>
  <c r="Q12" i="4" s="1"/>
  <c r="M8" i="4"/>
  <c r="M12" i="4" s="1"/>
  <c r="I20" i="4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I14" i="4" l="1"/>
  <c r="P14" i="4"/>
  <c r="H26" i="4"/>
  <c r="H27" i="4" s="1"/>
  <c r="AB14" i="4"/>
  <c r="X14" i="4"/>
  <c r="T14" i="4"/>
  <c r="L14" i="4"/>
  <c r="K14" i="4"/>
  <c r="U14" i="4"/>
  <c r="H14" i="4"/>
  <c r="H15" i="4" s="1"/>
  <c r="AD14" i="4"/>
  <c r="AF14" i="4"/>
  <c r="AA14" i="4"/>
  <c r="I19" i="4"/>
  <c r="J19" i="4" s="1"/>
  <c r="Y14" i="4"/>
  <c r="R14" i="4"/>
  <c r="O14" i="4"/>
  <c r="AE14" i="4"/>
  <c r="AC14" i="4"/>
  <c r="V14" i="4"/>
  <c r="M14" i="4"/>
  <c r="S14" i="4"/>
  <c r="J14" i="4"/>
  <c r="Q14" i="4"/>
  <c r="AG14" i="4"/>
  <c r="Z14" i="4"/>
  <c r="W14" i="4"/>
  <c r="N14" i="4"/>
  <c r="J20" i="4"/>
  <c r="I24" i="4"/>
  <c r="I23" i="4" l="1"/>
  <c r="I26" i="4" s="1"/>
  <c r="I27" i="4" s="1"/>
  <c r="J23" i="4"/>
  <c r="K19" i="4"/>
  <c r="K20" i="4"/>
  <c r="J24" i="4"/>
  <c r="J26" i="4" l="1"/>
  <c r="J27" i="4" s="1"/>
  <c r="L20" i="4"/>
  <c r="K24" i="4"/>
  <c r="L19" i="4"/>
  <c r="K23" i="4"/>
  <c r="K26" i="4" l="1"/>
  <c r="K27" i="4" s="1"/>
  <c r="M20" i="4"/>
  <c r="L24" i="4"/>
  <c r="L23" i="4"/>
  <c r="M19" i="4"/>
  <c r="L26" i="4" l="1"/>
  <c r="L27" i="4" s="1"/>
  <c r="N20" i="4"/>
  <c r="M24" i="4"/>
  <c r="N19" i="4"/>
  <c r="M23" i="4"/>
  <c r="N23" i="4" l="1"/>
  <c r="O19" i="4"/>
  <c r="O20" i="4"/>
  <c r="N24" i="4"/>
  <c r="M26" i="4"/>
  <c r="M27" i="4" s="1"/>
  <c r="N26" i="4" l="1"/>
  <c r="N27" i="4" s="1"/>
  <c r="P20" i="4"/>
  <c r="O24" i="4"/>
  <c r="P19" i="4"/>
  <c r="O23" i="4"/>
  <c r="Q19" i="4" l="1"/>
  <c r="P23" i="4"/>
  <c r="Q20" i="4"/>
  <c r="P24" i="4"/>
  <c r="O26" i="4"/>
  <c r="O27" i="4" s="1"/>
  <c r="R20" i="4" l="1"/>
  <c r="Q24" i="4"/>
  <c r="P26" i="4"/>
  <c r="P27" i="4" s="1"/>
  <c r="R19" i="4"/>
  <c r="Q23" i="4"/>
  <c r="Q26" i="4" l="1"/>
  <c r="Q27" i="4" s="1"/>
  <c r="S19" i="4"/>
  <c r="R23" i="4"/>
  <c r="R24" i="4"/>
  <c r="S20" i="4"/>
  <c r="R26" i="4" l="1"/>
  <c r="R27" i="4" s="1"/>
  <c r="T19" i="4"/>
  <c r="S23" i="4"/>
  <c r="T20" i="4"/>
  <c r="S24" i="4"/>
  <c r="U20" i="4" l="1"/>
  <c r="T24" i="4"/>
  <c r="S26" i="4"/>
  <c r="S27" i="4" s="1"/>
  <c r="U19" i="4"/>
  <c r="T23" i="4"/>
  <c r="V19" i="4" l="1"/>
  <c r="U23" i="4"/>
  <c r="T26" i="4"/>
  <c r="T27" i="4" s="1"/>
  <c r="V20" i="4"/>
  <c r="U24" i="4"/>
  <c r="U26" i="4" l="1"/>
  <c r="U27" i="4" s="1"/>
  <c r="W19" i="4"/>
  <c r="V23" i="4"/>
  <c r="W20" i="4"/>
  <c r="V24" i="4"/>
  <c r="V26" i="4" l="1"/>
  <c r="V27" i="4" s="1"/>
  <c r="X19" i="4"/>
  <c r="W23" i="4"/>
  <c r="X20" i="4"/>
  <c r="W24" i="4"/>
  <c r="W26" i="4" l="1"/>
  <c r="W27" i="4" s="1"/>
  <c r="Y20" i="4"/>
  <c r="X24" i="4"/>
  <c r="Y19" i="4"/>
  <c r="X23" i="4"/>
  <c r="Z19" i="4" l="1"/>
  <c r="Y23" i="4"/>
  <c r="Z20" i="4"/>
  <c r="Y24" i="4"/>
  <c r="X26" i="4"/>
  <c r="X27" i="4" s="1"/>
  <c r="Y26" i="4" l="1"/>
  <c r="Y27" i="4" s="1"/>
  <c r="AA19" i="4"/>
  <c r="Z23" i="4"/>
  <c r="AA20" i="4"/>
  <c r="Z24" i="4"/>
  <c r="AB20" i="4" l="1"/>
  <c r="AA24" i="4"/>
  <c r="Z26" i="4"/>
  <c r="Z27" i="4" s="1"/>
  <c r="AB19" i="4"/>
  <c r="AA23" i="4"/>
  <c r="AC19" i="4" l="1"/>
  <c r="AB23" i="4"/>
  <c r="AA26" i="4"/>
  <c r="AA27" i="4" s="1"/>
  <c r="AC20" i="4"/>
  <c r="AB24" i="4"/>
  <c r="AB26" i="4" l="1"/>
  <c r="AB27" i="4" s="1"/>
  <c r="AD20" i="4"/>
  <c r="AC24" i="4"/>
  <c r="AD19" i="4"/>
  <c r="AC23" i="4"/>
  <c r="AE20" i="4" l="1"/>
  <c r="AD24" i="4"/>
  <c r="AC26" i="4"/>
  <c r="AC27" i="4" s="1"/>
  <c r="AE19" i="4"/>
  <c r="AD23" i="4"/>
  <c r="AD26" i="4" l="1"/>
  <c r="AD27" i="4" s="1"/>
  <c r="AF20" i="4"/>
  <c r="AE24" i="4"/>
  <c r="AF19" i="4"/>
  <c r="AE23" i="4"/>
  <c r="AE26" i="4" l="1"/>
  <c r="AE27" i="4" s="1"/>
  <c r="AG19" i="4"/>
  <c r="AG23" i="4" s="1"/>
  <c r="AF23" i="4"/>
  <c r="AG20" i="4"/>
  <c r="AG24" i="4" s="1"/>
  <c r="AF24" i="4"/>
  <c r="AF26" i="4" l="1"/>
  <c r="AF27" i="4" s="1"/>
  <c r="AG26" i="4"/>
  <c r="AG27" i="4" l="1"/>
</calcChain>
</file>

<file path=xl/sharedStrings.xml><?xml version="1.0" encoding="utf-8"?>
<sst xmlns="http://schemas.openxmlformats.org/spreadsheetml/2006/main" count="159" uniqueCount="83">
  <si>
    <t>Fuel Pathway LCI</t>
  </si>
  <si>
    <t xml:space="preserve">California Electricity LCIs (g/kWH) WTW </t>
  </si>
  <si>
    <t>Coal</t>
  </si>
  <si>
    <t>Oil</t>
  </si>
  <si>
    <t>Natural Gas</t>
  </si>
  <si>
    <t>Nuclear</t>
  </si>
  <si>
    <t>Biomass</t>
  </si>
  <si>
    <t>Total energy</t>
  </si>
  <si>
    <t>Fossil fuels</t>
  </si>
  <si>
    <t>Natural gas</t>
  </si>
  <si>
    <t>Petroleum</t>
  </si>
  <si>
    <t>VOC</t>
  </si>
  <si>
    <t>CO</t>
  </si>
  <si>
    <t>NOx</t>
  </si>
  <si>
    <t>PM10</t>
  </si>
  <si>
    <t>PM2.5</t>
  </si>
  <si>
    <t>SOx</t>
  </si>
  <si>
    <t>CH4</t>
  </si>
  <si>
    <t>N2O</t>
  </si>
  <si>
    <t>CO2</t>
  </si>
  <si>
    <t>CO2 (w/ C in VOC &amp; CO)</t>
  </si>
  <si>
    <t>GHGs (CO2e)</t>
  </si>
  <si>
    <t>CA Mix 2017</t>
  </si>
  <si>
    <t>PGE Mix 2017</t>
  </si>
  <si>
    <t>Geothermal</t>
  </si>
  <si>
    <t>Hydro</t>
  </si>
  <si>
    <t>Solar</t>
  </si>
  <si>
    <t>Wind</t>
  </si>
  <si>
    <t>Large Hydro</t>
  </si>
  <si>
    <t>Unspecified</t>
  </si>
  <si>
    <t>CA Mix 2018</t>
  </si>
  <si>
    <t>SUM</t>
  </si>
  <si>
    <t>VCE Std. 2018</t>
  </si>
  <si>
    <t>VCE Std.</t>
  </si>
  <si>
    <t>Annual Load</t>
  </si>
  <si>
    <t>Power Mix</t>
  </si>
  <si>
    <t>Avg. Values per kWh</t>
  </si>
  <si>
    <t>VCE U.G.</t>
  </si>
  <si>
    <t>VCE Ultra Green 2018</t>
  </si>
  <si>
    <t>PGE Mix</t>
  </si>
  <si>
    <t>Nugent 2014</t>
  </si>
  <si>
    <t>GHG Emissions Factor (gCO2/kWh)</t>
  </si>
  <si>
    <t>Year</t>
  </si>
  <si>
    <t>California (CAMX)</t>
  </si>
  <si>
    <t>GHGs (g CO2e)</t>
  </si>
  <si>
    <t>Energy (GWh)</t>
  </si>
  <si>
    <t>Flury 2012</t>
  </si>
  <si>
    <t>Without Unspecified</t>
  </si>
  <si>
    <t>VCE Emissions</t>
  </si>
  <si>
    <t>PGE Emissions</t>
  </si>
  <si>
    <t>g per kWh</t>
  </si>
  <si>
    <t>Annual Emissions</t>
  </si>
  <si>
    <t>tons CO2e</t>
  </si>
  <si>
    <t>VCE</t>
  </si>
  <si>
    <t>PGE</t>
  </si>
  <si>
    <t>Difference</t>
  </si>
  <si>
    <t>Summed Difference</t>
  </si>
  <si>
    <t>kg / MWh</t>
  </si>
  <si>
    <t>tons / GWh</t>
  </si>
  <si>
    <t>ALTERNATIVE</t>
  </si>
  <si>
    <t>*only unspecified changes</t>
  </si>
  <si>
    <t>Difference remains the same, both become cleaner by</t>
  </si>
  <si>
    <t>same proportion as the average CA grid</t>
  </si>
  <si>
    <t>GHGs (g CO2e / kWh)</t>
  </si>
  <si>
    <t>Population</t>
  </si>
  <si>
    <t>Energy</t>
  </si>
  <si>
    <t>TAWP</t>
  </si>
  <si>
    <t>Need +60% wind and hydro energy</t>
  </si>
  <si>
    <t>GWh</t>
  </si>
  <si>
    <t>Addit. GWh</t>
  </si>
  <si>
    <t>250 kW turbine</t>
  </si>
  <si>
    <t>0.25 Cap. Fac.</t>
  </si>
  <si>
    <t>Annual MWh</t>
  </si>
  <si>
    <t>Needed</t>
  </si>
  <si>
    <t>Avg. Cost</t>
  </si>
  <si>
    <t>Total Cost</t>
  </si>
  <si>
    <t>Sullivan 2010</t>
  </si>
  <si>
    <t>^Assume unspecified is CARB value</t>
  </si>
  <si>
    <t>^</t>
  </si>
  <si>
    <t>CARB</t>
  </si>
  <si>
    <t>g CO2e/kWh</t>
  </si>
  <si>
    <t>GREET</t>
  </si>
  <si>
    <t>W/o transmission losses (non-GREET): 4.9%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</si>
</sst>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44A5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NumberFormat="1"/>
    <xf numFmtId="9" fontId="0" fillId="0" borderId="0" xfId="1" applyFont="1"/>
    <xf numFmtId="0" fontId="0" fillId="0" borderId="0" xfId="0" applyFill="1"/>
    <xf numFmtId="9" fontId="0" fillId="0" borderId="0" xfId="1" applyFont="1" applyFill="1"/>
    <xf numFmtId="9" fontId="0" fillId="0" borderId="1" xfId="1" applyFont="1" applyBorder="1"/>
    <xf numFmtId="9" fontId="0" fillId="0" borderId="2" xfId="1" applyFont="1" applyBorder="1"/>
    <xf numFmtId="9" fontId="0" fillId="0" borderId="3" xfId="1" applyFont="1" applyBorder="1"/>
    <xf numFmtId="9" fontId="0" fillId="0" borderId="0" xfId="1" applyFont="1" applyBorder="1"/>
    <xf numFmtId="9" fontId="0" fillId="2" borderId="0" xfId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8" xfId="1" applyFont="1" applyBorder="1"/>
    <xf numFmtId="9" fontId="0" fillId="0" borderId="9" xfId="1" applyFont="1" applyBorder="1"/>
    <xf numFmtId="0" fontId="0" fillId="0" borderId="10" xfId="0" applyBorder="1"/>
    <xf numFmtId="9" fontId="0" fillId="0" borderId="11" xfId="1" applyFont="1" applyBorder="1"/>
    <xf numFmtId="9" fontId="0" fillId="0" borderId="12" xfId="1" applyFont="1" applyBorder="1"/>
    <xf numFmtId="9" fontId="0" fillId="0" borderId="13" xfId="1" applyFont="1" applyBorder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2" fillId="0" borderId="17" xfId="0" applyFont="1" applyBorder="1"/>
    <xf numFmtId="0" fontId="0" fillId="0" borderId="14" xfId="0" applyBorder="1"/>
    <xf numFmtId="2" fontId="0" fillId="0" borderId="0" xfId="1" applyNumberFormat="1" applyFont="1" applyFill="1"/>
    <xf numFmtId="0" fontId="0" fillId="3" borderId="5" xfId="0" applyFill="1" applyBorder="1"/>
    <xf numFmtId="9" fontId="0" fillId="3" borderId="2" xfId="1" applyFont="1" applyFill="1" applyBorder="1"/>
    <xf numFmtId="9" fontId="0" fillId="3" borderId="0" xfId="1" applyFont="1" applyFill="1" applyBorder="1"/>
    <xf numFmtId="9" fontId="0" fillId="3" borderId="12" xfId="1" applyFont="1" applyFill="1" applyBorder="1"/>
    <xf numFmtId="0" fontId="4" fillId="0" borderId="2" xfId="0" applyFont="1" applyBorder="1"/>
    <xf numFmtId="0" fontId="0" fillId="0" borderId="18" xfId="0" applyBorder="1"/>
    <xf numFmtId="0" fontId="0" fillId="0" borderId="3" xfId="0" applyBorder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0" borderId="20" xfId="0" applyFont="1" applyBorder="1"/>
    <xf numFmtId="0" fontId="0" fillId="0" borderId="20" xfId="0" applyBorder="1"/>
    <xf numFmtId="164" fontId="5" fillId="0" borderId="20" xfId="0" applyNumberFormat="1" applyFont="1" applyBorder="1"/>
    <xf numFmtId="164" fontId="5" fillId="0" borderId="19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21" xfId="0" applyBorder="1"/>
    <xf numFmtId="0" fontId="0" fillId="0" borderId="21" xfId="0" applyFill="1" applyBorder="1"/>
    <xf numFmtId="9" fontId="0" fillId="0" borderId="21" xfId="1" applyFont="1" applyFill="1" applyBorder="1"/>
    <xf numFmtId="0" fontId="0" fillId="0" borderId="23" xfId="0" applyFill="1" applyBorder="1"/>
    <xf numFmtId="9" fontId="0" fillId="0" borderId="23" xfId="1" applyFont="1" applyFill="1" applyBorder="1"/>
    <xf numFmtId="0" fontId="0" fillId="0" borderId="22" xfId="0" applyFill="1" applyBorder="1"/>
    <xf numFmtId="9" fontId="0" fillId="0" borderId="22" xfId="1" applyFont="1" applyFill="1" applyBorder="1"/>
    <xf numFmtId="2" fontId="0" fillId="0" borderId="21" xfId="0" applyNumberFormat="1" applyBorder="1"/>
    <xf numFmtId="0" fontId="0" fillId="0" borderId="0" xfId="0" applyFont="1"/>
    <xf numFmtId="165" fontId="0" fillId="0" borderId="0" xfId="2" applyNumberFormat="1" applyFont="1" applyBorder="1"/>
    <xf numFmtId="165" fontId="0" fillId="0" borderId="0" xfId="2" applyNumberFormat="1" applyFont="1" applyFill="1"/>
    <xf numFmtId="0" fontId="0" fillId="0" borderId="1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4" fillId="0" borderId="26" xfId="0" applyFont="1" applyBorder="1"/>
    <xf numFmtId="0" fontId="7" fillId="0" borderId="27" xfId="0" applyFont="1" applyBorder="1" applyAlignment="1">
      <alignment horizontal="center" wrapText="1"/>
    </xf>
    <xf numFmtId="164" fontId="5" fillId="0" borderId="23" xfId="0" applyNumberFormat="1" applyFont="1" applyBorder="1"/>
    <xf numFmtId="0" fontId="0" fillId="0" borderId="27" xfId="0" applyBorder="1"/>
    <xf numFmtId="0" fontId="0" fillId="0" borderId="23" xfId="0" applyBorder="1"/>
    <xf numFmtId="0" fontId="7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27" xfId="0" applyFon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44A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topLeftCell="D1" workbookViewId="0">
      <selection activeCell="S10" sqref="S10"/>
    </sheetView>
  </sheetViews>
  <sheetFormatPr defaultColWidth="10.6640625" defaultRowHeight="15.5" x14ac:dyDescent="0.35"/>
  <cols>
    <col min="2" max="2" width="23.83203125" customWidth="1"/>
    <col min="3" max="3" width="11.6640625" bestFit="1" customWidth="1"/>
    <col min="4" max="5" width="13.6640625" bestFit="1" customWidth="1"/>
    <col min="6" max="6" width="12.6640625" bestFit="1" customWidth="1"/>
    <col min="7" max="7" width="11" bestFit="1" customWidth="1"/>
    <col min="8" max="10" width="11.6640625" bestFit="1" customWidth="1"/>
    <col min="13" max="13" width="21.83203125" customWidth="1"/>
    <col min="14" max="22" width="9.1640625" customWidth="1"/>
  </cols>
  <sheetData>
    <row r="2" spans="2:22" x14ac:dyDescent="0.35">
      <c r="B2" t="s">
        <v>0</v>
      </c>
    </row>
    <row r="3" spans="2:22" x14ac:dyDescent="0.35">
      <c r="C3" t="s">
        <v>1</v>
      </c>
      <c r="N3" t="s">
        <v>81</v>
      </c>
      <c r="P3" t="s">
        <v>81</v>
      </c>
      <c r="Q3" t="s">
        <v>81</v>
      </c>
      <c r="R3" t="s">
        <v>81</v>
      </c>
      <c r="S3" t="s">
        <v>81</v>
      </c>
    </row>
    <row r="4" spans="2:22" x14ac:dyDescent="0.35">
      <c r="C4" t="s">
        <v>6</v>
      </c>
      <c r="D4" t="s">
        <v>2</v>
      </c>
      <c r="E4" t="s">
        <v>3</v>
      </c>
      <c r="F4" t="s">
        <v>4</v>
      </c>
      <c r="G4" t="s">
        <v>5</v>
      </c>
      <c r="H4" t="s">
        <v>27</v>
      </c>
      <c r="I4" t="s">
        <v>26</v>
      </c>
      <c r="J4" t="s">
        <v>25</v>
      </c>
      <c r="K4" t="s">
        <v>24</v>
      </c>
      <c r="M4" s="42"/>
      <c r="N4" s="42" t="s">
        <v>6</v>
      </c>
      <c r="O4" s="42" t="s">
        <v>24</v>
      </c>
      <c r="P4" s="42" t="s">
        <v>2</v>
      </c>
      <c r="Q4" s="42" t="s">
        <v>3</v>
      </c>
      <c r="R4" s="42" t="s">
        <v>4</v>
      </c>
      <c r="S4" s="42" t="s">
        <v>5</v>
      </c>
      <c r="T4" s="42" t="s">
        <v>27</v>
      </c>
      <c r="U4" s="42" t="s">
        <v>26</v>
      </c>
      <c r="V4" s="42" t="s">
        <v>25</v>
      </c>
    </row>
    <row r="5" spans="2:22" x14ac:dyDescent="0.35">
      <c r="B5" t="s">
        <v>7</v>
      </c>
      <c r="C5">
        <v>16705.453249256021</v>
      </c>
      <c r="D5">
        <v>10751.133842947949</v>
      </c>
      <c r="E5">
        <v>12251.09105334543</v>
      </c>
      <c r="F5">
        <v>8402.09915342965</v>
      </c>
      <c r="G5">
        <v>3806.2355798594954</v>
      </c>
      <c r="M5" s="42" t="s">
        <v>63</v>
      </c>
      <c r="N5" s="49">
        <v>78.202182386554142</v>
      </c>
      <c r="O5" s="49">
        <f>O6*1.049</f>
        <v>24.126999999999999</v>
      </c>
      <c r="P5" s="49">
        <v>1114.0390907826511</v>
      </c>
      <c r="Q5" s="49">
        <v>1064.7897402394765</v>
      </c>
      <c r="R5" s="49">
        <v>545.41248442132621</v>
      </c>
      <c r="S5" s="49">
        <v>9.0082518648427889</v>
      </c>
      <c r="T5" s="49">
        <f>T6*1.049</f>
        <v>35.781389999999995</v>
      </c>
      <c r="U5" s="49">
        <f>U6*1.049</f>
        <v>52.355589999999992</v>
      </c>
      <c r="V5" s="49">
        <f>V6*1.049</f>
        <v>11.3292</v>
      </c>
    </row>
    <row r="6" spans="2:22" ht="34" customHeight="1" x14ac:dyDescent="0.35">
      <c r="B6" t="s">
        <v>8</v>
      </c>
      <c r="C6">
        <v>554.56308703450497</v>
      </c>
      <c r="D6">
        <v>10740.256276689652</v>
      </c>
      <c r="E6">
        <v>12178.109808035502</v>
      </c>
      <c r="F6">
        <v>8392.6553180303963</v>
      </c>
      <c r="G6">
        <v>123.92254042015229</v>
      </c>
      <c r="M6" s="65" t="s">
        <v>82</v>
      </c>
      <c r="O6">
        <v>23</v>
      </c>
      <c r="T6">
        <v>34.11</v>
      </c>
      <c r="U6">
        <v>49.91</v>
      </c>
      <c r="V6">
        <v>10.8</v>
      </c>
    </row>
    <row r="7" spans="2:22" x14ac:dyDescent="0.35">
      <c r="B7" t="s">
        <v>2</v>
      </c>
      <c r="C7">
        <v>2.0334772445654914</v>
      </c>
      <c r="D7">
        <v>10527.740176966779</v>
      </c>
      <c r="E7">
        <v>38.680157245595069</v>
      </c>
      <c r="F7">
        <v>3.9432180441066524</v>
      </c>
      <c r="G7">
        <v>13.750035741738913</v>
      </c>
    </row>
    <row r="8" spans="2:22" x14ac:dyDescent="0.35">
      <c r="B8" t="s">
        <v>9</v>
      </c>
      <c r="C8">
        <v>59.692606516405192</v>
      </c>
      <c r="D8">
        <v>43.162633717158741</v>
      </c>
      <c r="E8">
        <v>832.17006503241851</v>
      </c>
      <c r="F8">
        <v>8356.0634858327594</v>
      </c>
      <c r="G8">
        <v>96.616605242700189</v>
      </c>
    </row>
    <row r="9" spans="2:22" x14ac:dyDescent="0.35">
      <c r="B9" t="s">
        <v>10</v>
      </c>
      <c r="C9">
        <v>492.83700327353432</v>
      </c>
      <c r="D9">
        <v>169.35346600571344</v>
      </c>
      <c r="E9">
        <v>11307.259585757489</v>
      </c>
      <c r="F9">
        <v>32.648614153529742</v>
      </c>
      <c r="G9">
        <v>13.555899435713179</v>
      </c>
    </row>
    <row r="10" spans="2:22" x14ac:dyDescent="0.35">
      <c r="B10" t="s">
        <v>11</v>
      </c>
      <c r="C10">
        <v>0.14880561266412579</v>
      </c>
      <c r="D10">
        <v>9.6534439297511682E-2</v>
      </c>
      <c r="E10">
        <v>8.5688769765854544E-2</v>
      </c>
      <c r="F10">
        <v>9.8810184253390831E-2</v>
      </c>
      <c r="G10">
        <v>3.8150747165883498E-3</v>
      </c>
    </row>
    <row r="11" spans="2:22" x14ac:dyDescent="0.35">
      <c r="B11" t="s">
        <v>12</v>
      </c>
      <c r="C11">
        <v>4.6385556387646982</v>
      </c>
      <c r="D11">
        <v>0.17145286851879715</v>
      </c>
      <c r="E11">
        <v>1.2441950334149565</v>
      </c>
      <c r="F11">
        <v>0.45479141030807124</v>
      </c>
      <c r="G11">
        <v>1.8467827622267254E-2</v>
      </c>
    </row>
    <row r="12" spans="2:22" x14ac:dyDescent="0.35">
      <c r="B12" t="s">
        <v>13</v>
      </c>
      <c r="C12">
        <v>1.842263088183977</v>
      </c>
      <c r="D12">
        <v>1.3836912167960129</v>
      </c>
      <c r="E12">
        <v>7.2490483645836319</v>
      </c>
      <c r="F12">
        <v>0.51292252379276315</v>
      </c>
      <c r="G12">
        <v>2.2939416523210441E-2</v>
      </c>
    </row>
    <row r="13" spans="2:22" x14ac:dyDescent="0.35">
      <c r="B13" t="s">
        <v>14</v>
      </c>
      <c r="C13">
        <v>0.60289494875708527</v>
      </c>
      <c r="D13">
        <v>0.396573506610714</v>
      </c>
      <c r="E13">
        <v>0.29871197637722319</v>
      </c>
      <c r="F13">
        <v>9.4499332075729924E-3</v>
      </c>
      <c r="G13">
        <v>1.4193968606322602E-3</v>
      </c>
    </row>
    <row r="14" spans="2:22" x14ac:dyDescent="0.35">
      <c r="B14" t="s">
        <v>15</v>
      </c>
      <c r="C14">
        <v>0.54098760958009906</v>
      </c>
      <c r="D14">
        <v>0.22921774421484153</v>
      </c>
      <c r="E14">
        <v>0.22571192829289044</v>
      </c>
      <c r="F14">
        <v>9.0791922292404025E-3</v>
      </c>
      <c r="G14">
        <v>1.0901233849745125E-3</v>
      </c>
    </row>
    <row r="15" spans="2:22" x14ac:dyDescent="0.35">
      <c r="B15" t="s">
        <v>16</v>
      </c>
      <c r="C15">
        <v>0.20343879659559932</v>
      </c>
      <c r="D15">
        <v>3.4955879333376858</v>
      </c>
      <c r="E15">
        <v>6.7414766238631803</v>
      </c>
      <c r="F15">
        <v>9.568669727362121E-2</v>
      </c>
      <c r="G15">
        <v>8.7398829150904037E-3</v>
      </c>
    </row>
    <row r="16" spans="2:22" x14ac:dyDescent="0.35">
      <c r="B16" t="s">
        <v>17</v>
      </c>
      <c r="C16">
        <v>0.2165261778844399</v>
      </c>
      <c r="D16">
        <v>1.5672510422196297</v>
      </c>
      <c r="E16">
        <v>1.1669634415314636</v>
      </c>
      <c r="F16">
        <v>1.5965330347607487</v>
      </c>
      <c r="G16">
        <v>2.4842236444952974E-2</v>
      </c>
    </row>
    <row r="17" spans="2:11" x14ac:dyDescent="0.35">
      <c r="B17" t="s">
        <v>18</v>
      </c>
      <c r="C17">
        <v>9.9227341152368156E-2</v>
      </c>
      <c r="D17">
        <v>1.704435740513343E-2</v>
      </c>
      <c r="E17">
        <v>8.7947448549730092E-3</v>
      </c>
      <c r="F17">
        <v>1.2135644991764144E-2</v>
      </c>
      <c r="G17">
        <v>2.1943157769942657E-4</v>
      </c>
    </row>
    <row r="18" spans="2:11" x14ac:dyDescent="0.35">
      <c r="B18" t="s">
        <v>19</v>
      </c>
      <c r="C18">
        <v>35.466343922318273</v>
      </c>
      <c r="D18">
        <v>1069.2083046150428</v>
      </c>
      <c r="E18">
        <v>1030.7725932780331</v>
      </c>
      <c r="F18">
        <v>500.86010572097371</v>
      </c>
      <c r="G18">
        <v>8.2808941553866529</v>
      </c>
    </row>
    <row r="19" spans="2:11" x14ac:dyDescent="0.35">
      <c r="B19" t="s">
        <v>20</v>
      </c>
      <c r="C19">
        <v>43.219280276037431</v>
      </c>
      <c r="D19">
        <v>1069.7785962204307</v>
      </c>
      <c r="E19">
        <v>1032.9948202344081</v>
      </c>
      <c r="F19">
        <v>501.88273634476189</v>
      </c>
      <c r="G19">
        <v>8.3218053435645345</v>
      </c>
    </row>
    <row r="20" spans="2:11" x14ac:dyDescent="0.35">
      <c r="B20" t="s">
        <v>21</v>
      </c>
      <c r="C20">
        <v>78.202182386554142</v>
      </c>
      <c r="D20">
        <v>1114.0390907826511</v>
      </c>
      <c r="E20">
        <v>1064.7897402394765</v>
      </c>
      <c r="F20">
        <v>545.41248442132621</v>
      </c>
      <c r="G20">
        <v>9.0082518648427889</v>
      </c>
      <c r="H20">
        <v>34.11</v>
      </c>
      <c r="I20">
        <v>49.91</v>
      </c>
      <c r="J20">
        <v>10.8</v>
      </c>
      <c r="K20">
        <v>23</v>
      </c>
    </row>
    <row r="21" spans="2:11" x14ac:dyDescent="0.35">
      <c r="H21" t="s">
        <v>40</v>
      </c>
      <c r="I21" t="s">
        <v>40</v>
      </c>
      <c r="J21" t="s">
        <v>46</v>
      </c>
      <c r="K21" t="s">
        <v>76</v>
      </c>
    </row>
    <row r="25" spans="2:11" x14ac:dyDescent="0.35">
      <c r="C25" t="s">
        <v>6</v>
      </c>
      <c r="D25" t="s">
        <v>2</v>
      </c>
      <c r="E25" t="s">
        <v>3</v>
      </c>
      <c r="F25" t="s">
        <v>4</v>
      </c>
      <c r="G25" t="s">
        <v>5</v>
      </c>
      <c r="H25" t="s">
        <v>27</v>
      </c>
      <c r="I25" t="s">
        <v>26</v>
      </c>
      <c r="J25" t="s">
        <v>25</v>
      </c>
    </row>
    <row r="26" spans="2:11" x14ac:dyDescent="0.35">
      <c r="B26" t="s">
        <v>63</v>
      </c>
      <c r="C26" s="41">
        <v>78.202182386554142</v>
      </c>
      <c r="D26" s="41">
        <v>1114.0390907826511</v>
      </c>
      <c r="E26" s="41">
        <v>1064.7897402394765</v>
      </c>
      <c r="F26" s="41">
        <v>545.41248442132621</v>
      </c>
      <c r="G26" s="41">
        <v>9.0082518648427889</v>
      </c>
      <c r="H26" s="41">
        <v>34.11</v>
      </c>
      <c r="I26" s="41">
        <v>49.91</v>
      </c>
      <c r="J26" s="41">
        <v>10.8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0"/>
  <sheetViews>
    <sheetView workbookViewId="0">
      <selection activeCell="D28" sqref="D28"/>
    </sheetView>
  </sheetViews>
  <sheetFormatPr defaultColWidth="10.6640625" defaultRowHeight="15.5" x14ac:dyDescent="0.35"/>
  <cols>
    <col min="1" max="1" width="22.83203125" customWidth="1"/>
    <col min="2" max="8" width="12" customWidth="1"/>
    <col min="9" max="9" width="13.83203125" customWidth="1"/>
    <col min="10" max="12" width="12" customWidth="1"/>
    <col min="13" max="13" width="12.83203125" customWidth="1"/>
    <col min="16" max="16" width="11.6640625" customWidth="1"/>
    <col min="17" max="17" width="12.33203125" customWidth="1"/>
    <col min="18" max="18" width="13" customWidth="1"/>
  </cols>
  <sheetData>
    <row r="3" spans="1:18" ht="16" thickBot="1" x14ac:dyDescent="0.4">
      <c r="F3" s="1"/>
    </row>
    <row r="4" spans="1:18" ht="16" thickBot="1" x14ac:dyDescent="0.4">
      <c r="A4" s="21" t="s">
        <v>35</v>
      </c>
      <c r="B4" s="10" t="s">
        <v>6</v>
      </c>
      <c r="C4" s="10" t="s">
        <v>24</v>
      </c>
      <c r="D4" s="10" t="s">
        <v>25</v>
      </c>
      <c r="E4" s="10" t="s">
        <v>26</v>
      </c>
      <c r="F4" s="10" t="s">
        <v>27</v>
      </c>
      <c r="G4" s="10" t="s">
        <v>2</v>
      </c>
      <c r="H4" s="10" t="s">
        <v>28</v>
      </c>
      <c r="I4" s="10" t="s">
        <v>4</v>
      </c>
      <c r="J4" s="10" t="s">
        <v>5</v>
      </c>
      <c r="K4" s="25" t="s">
        <v>29</v>
      </c>
      <c r="L4" s="11" t="s">
        <v>31</v>
      </c>
      <c r="M4" s="22" t="s">
        <v>34</v>
      </c>
      <c r="O4" s="42"/>
      <c r="P4" s="43" t="s">
        <v>30</v>
      </c>
      <c r="Q4" s="43" t="s">
        <v>23</v>
      </c>
      <c r="R4" s="43" t="s">
        <v>32</v>
      </c>
    </row>
    <row r="5" spans="1:18" x14ac:dyDescent="0.35">
      <c r="A5" s="12" t="s">
        <v>22</v>
      </c>
      <c r="B5" s="5">
        <v>0.02</v>
      </c>
      <c r="C5" s="6">
        <v>0.04</v>
      </c>
      <c r="D5" s="6">
        <v>0.03</v>
      </c>
      <c r="E5" s="6">
        <v>0.1</v>
      </c>
      <c r="F5" s="6">
        <v>0.1</v>
      </c>
      <c r="G5" s="6">
        <v>0.04</v>
      </c>
      <c r="H5" s="6">
        <v>0.15</v>
      </c>
      <c r="I5" s="6">
        <v>0.34</v>
      </c>
      <c r="J5" s="6">
        <v>0.09</v>
      </c>
      <c r="K5" s="26">
        <v>0.09</v>
      </c>
      <c r="L5" s="13">
        <v>1</v>
      </c>
      <c r="M5" s="19"/>
      <c r="O5" s="43" t="s">
        <v>6</v>
      </c>
      <c r="P5" s="44">
        <v>0.02</v>
      </c>
      <c r="Q5" s="44">
        <v>0.04</v>
      </c>
      <c r="R5" s="44">
        <v>0</v>
      </c>
    </row>
    <row r="6" spans="1:18" x14ac:dyDescent="0.35">
      <c r="A6" s="12" t="s">
        <v>30</v>
      </c>
      <c r="B6" s="7">
        <v>0.02</v>
      </c>
      <c r="C6" s="8">
        <v>0.05</v>
      </c>
      <c r="D6" s="8">
        <v>0.02</v>
      </c>
      <c r="E6" s="8">
        <v>0.11</v>
      </c>
      <c r="F6" s="8">
        <v>0.11</v>
      </c>
      <c r="G6" s="8">
        <v>0.03</v>
      </c>
      <c r="H6" s="8">
        <v>0.11</v>
      </c>
      <c r="I6" s="8">
        <v>0.35</v>
      </c>
      <c r="J6" s="8">
        <v>0.09</v>
      </c>
      <c r="K6" s="9">
        <v>0.11</v>
      </c>
      <c r="L6" s="14">
        <v>1</v>
      </c>
      <c r="M6" s="19"/>
      <c r="O6" s="43" t="s">
        <v>24</v>
      </c>
      <c r="P6" s="44">
        <v>0.05</v>
      </c>
      <c r="Q6" s="44">
        <v>0.05</v>
      </c>
      <c r="R6" s="44">
        <v>0</v>
      </c>
    </row>
    <row r="7" spans="1:18" x14ac:dyDescent="0.35">
      <c r="A7" s="12" t="s">
        <v>23</v>
      </c>
      <c r="B7" s="7">
        <v>0.04</v>
      </c>
      <c r="C7" s="8">
        <v>0.05</v>
      </c>
      <c r="D7" s="8">
        <v>0.03</v>
      </c>
      <c r="E7" s="8">
        <v>0.13</v>
      </c>
      <c r="F7" s="8">
        <v>0.08</v>
      </c>
      <c r="G7" s="8">
        <v>0</v>
      </c>
      <c r="H7" s="8">
        <v>0.18</v>
      </c>
      <c r="I7" s="8">
        <v>0.2</v>
      </c>
      <c r="J7" s="8">
        <v>0.27</v>
      </c>
      <c r="K7" s="27">
        <v>0.02</v>
      </c>
      <c r="L7" s="14">
        <v>1</v>
      </c>
      <c r="M7" s="19"/>
      <c r="O7" s="43" t="s">
        <v>25</v>
      </c>
      <c r="P7" s="44">
        <v>0.02</v>
      </c>
      <c r="Q7" s="44">
        <v>0.03</v>
      </c>
      <c r="R7" s="44">
        <v>0</v>
      </c>
    </row>
    <row r="8" spans="1:18" x14ac:dyDescent="0.35">
      <c r="A8" s="12" t="s">
        <v>32</v>
      </c>
      <c r="B8" s="7">
        <v>0</v>
      </c>
      <c r="C8" s="8">
        <v>0</v>
      </c>
      <c r="D8" s="8">
        <v>0</v>
      </c>
      <c r="E8" s="8">
        <v>0</v>
      </c>
      <c r="F8" s="8">
        <v>0.48</v>
      </c>
      <c r="G8" s="8">
        <v>0</v>
      </c>
      <c r="H8" s="8">
        <v>0.37</v>
      </c>
      <c r="I8" s="8">
        <v>0</v>
      </c>
      <c r="J8" s="8">
        <v>0</v>
      </c>
      <c r="K8" s="9">
        <v>0.15</v>
      </c>
      <c r="L8" s="14">
        <v>1</v>
      </c>
      <c r="M8" s="19"/>
      <c r="O8" s="43" t="s">
        <v>26</v>
      </c>
      <c r="P8" s="44">
        <v>0.11</v>
      </c>
      <c r="Q8" s="44">
        <v>0.13</v>
      </c>
      <c r="R8" s="44">
        <v>0</v>
      </c>
    </row>
    <row r="9" spans="1:18" ht="16" thickBot="1" x14ac:dyDescent="0.4">
      <c r="A9" s="15" t="s">
        <v>38</v>
      </c>
      <c r="B9" s="16">
        <v>0</v>
      </c>
      <c r="C9" s="17">
        <v>0</v>
      </c>
      <c r="D9" s="17">
        <v>0.56000000000000005</v>
      </c>
      <c r="E9" s="17">
        <v>0</v>
      </c>
      <c r="F9" s="17">
        <v>0.44</v>
      </c>
      <c r="G9" s="17">
        <v>0</v>
      </c>
      <c r="H9" s="17">
        <v>0</v>
      </c>
      <c r="I9" s="17">
        <v>0</v>
      </c>
      <c r="J9" s="17">
        <v>0</v>
      </c>
      <c r="K9" s="28">
        <v>0</v>
      </c>
      <c r="L9" s="18">
        <v>1</v>
      </c>
      <c r="M9" s="20"/>
      <c r="O9" s="43" t="s">
        <v>27</v>
      </c>
      <c r="P9" s="44">
        <v>0.11</v>
      </c>
      <c r="Q9" s="44">
        <v>0.08</v>
      </c>
      <c r="R9" s="44">
        <v>0.48</v>
      </c>
    </row>
    <row r="10" spans="1:18" ht="16" thickBot="1" x14ac:dyDescent="0.4">
      <c r="B10" s="2"/>
      <c r="C10" s="2"/>
      <c r="D10" s="2"/>
      <c r="E10" s="2"/>
      <c r="F10" s="2"/>
      <c r="O10" s="43" t="s">
        <v>2</v>
      </c>
      <c r="P10" s="44">
        <v>0.03</v>
      </c>
      <c r="Q10" s="44">
        <v>0</v>
      </c>
      <c r="R10" s="44">
        <v>0</v>
      </c>
    </row>
    <row r="11" spans="1:18" x14ac:dyDescent="0.35">
      <c r="A11" s="23" t="s">
        <v>36</v>
      </c>
      <c r="B11" s="2" t="s">
        <v>22</v>
      </c>
      <c r="C11" s="2" t="s">
        <v>30</v>
      </c>
      <c r="D11" s="2" t="s">
        <v>39</v>
      </c>
      <c r="E11" s="2" t="s">
        <v>33</v>
      </c>
      <c r="F11" s="2" t="s">
        <v>37</v>
      </c>
      <c r="I11" s="2" t="s">
        <v>67</v>
      </c>
      <c r="O11" s="43" t="s">
        <v>28</v>
      </c>
      <c r="P11" s="44">
        <v>0.11</v>
      </c>
      <c r="Q11" s="44">
        <v>0.18</v>
      </c>
      <c r="R11" s="44">
        <v>0.37</v>
      </c>
    </row>
    <row r="12" spans="1:18" x14ac:dyDescent="0.35">
      <c r="A12" t="s">
        <v>7</v>
      </c>
      <c r="B12" s="24">
        <f>($B$5*LCI!C5)+($G$5*LCI!D5)+($I$5*LCI!F5)+($J$5*LCI!G5)</f>
        <v>3963.4293330564738</v>
      </c>
      <c r="C12" s="24">
        <f>($B$6*LCI!C5)+($G$6*LCI!D5)+($I$6*LCI!F5)+($J$6*LCI!G5)</f>
        <v>3939.9389861612908</v>
      </c>
      <c r="D12" s="24">
        <f>($B$7*LCI!C5)+($G$7*LCI!D5)+($I$7*LCI!F5)+($J$7*LCI!G5)</f>
        <v>3376.321567218235</v>
      </c>
      <c r="E12" s="24">
        <f>($B$8*LCI!C5)+($G$8*LCI!D5)+($I$8*LCI!F5)+($J$8*LCI!G5)</f>
        <v>0</v>
      </c>
      <c r="F12" s="24">
        <f>($B$9*LCI!C5)+($G$9*LCI!D5)+($I$9*LCI!F5)+($J$9*LCI!G5)</f>
        <v>0</v>
      </c>
      <c r="G12" s="3"/>
      <c r="H12" s="3" t="s">
        <v>68</v>
      </c>
      <c r="I12" s="24">
        <v>926</v>
      </c>
      <c r="J12" s="3"/>
      <c r="K12" s="3"/>
      <c r="L12" s="3"/>
      <c r="O12" s="43" t="s">
        <v>4</v>
      </c>
      <c r="P12" s="44">
        <v>0.35</v>
      </c>
      <c r="Q12" s="44">
        <v>0.2</v>
      </c>
      <c r="R12" s="44">
        <v>0</v>
      </c>
    </row>
    <row r="13" spans="1:18" x14ac:dyDescent="0.35">
      <c r="A13" t="s">
        <v>8</v>
      </c>
      <c r="B13" s="24">
        <f>($B$5*LCI!C6)+($G$5*LCI!D6)+($I$5*LCI!F6)+($J$5*LCI!G6)</f>
        <v>3305.3573495764249</v>
      </c>
      <c r="C13" s="24">
        <f>($B$6*LCI!C6)+($G$6*LCI!D6)+($I$6*LCI!F6)+($J$6*LCI!G6)</f>
        <v>3281.8813399898318</v>
      </c>
      <c r="D13" s="24">
        <f>($B$7*LCI!C6)+($G$7*LCI!D6)+($I$7*LCI!F6)+($J$7*LCI!G6)</f>
        <v>1734.1726730009009</v>
      </c>
      <c r="E13" s="24">
        <f>($B$8*LCI!C6)+($G$8*LCI!D6)+($I$8*LCI!F6)+($J$8*LCI!G6)</f>
        <v>0</v>
      </c>
      <c r="F13" s="24">
        <f>($B$9*LCI!C6)+($G$9*LCI!D6)+($I$9*LCI!F6)+($J$9*LCI!G6)</f>
        <v>0</v>
      </c>
      <c r="G13" s="3"/>
      <c r="H13" s="3" t="s">
        <v>69</v>
      </c>
      <c r="I13" s="3">
        <f>I12*0.6</f>
        <v>555.6</v>
      </c>
      <c r="J13" s="3"/>
      <c r="K13" s="3"/>
      <c r="L13" s="3"/>
      <c r="O13" s="43" t="s">
        <v>5</v>
      </c>
      <c r="P13" s="44">
        <v>0.09</v>
      </c>
      <c r="Q13" s="44">
        <v>0.27</v>
      </c>
      <c r="R13" s="44">
        <v>0</v>
      </c>
    </row>
    <row r="14" spans="1:18" ht="16" thickBot="1" x14ac:dyDescent="0.4">
      <c r="A14" t="s">
        <v>2</v>
      </c>
      <c r="B14" s="24">
        <f>($B$5*LCI!C7)+($G$5*LCI!D7)+($I$5*LCI!F7)+($J$5*LCI!G7)</f>
        <v>423.7284739753153</v>
      </c>
      <c r="C14" s="24">
        <f>($B$6*LCI!C7)+($G$6*LCI!D7)+($I$6*LCI!F7)+($J$6*LCI!G7)</f>
        <v>318.49050438608856</v>
      </c>
      <c r="D14" s="24">
        <f>($B$7*LCI!C7)+($G$7*LCI!D7)+($I$7*LCI!F7)+($J$7*LCI!G7)</f>
        <v>4.5824923488734566</v>
      </c>
      <c r="E14" s="24">
        <f>($B$8*LCI!C7)+($G$8*LCI!D7)+($I$8*LCI!F7)+($J$8*LCI!G7)</f>
        <v>0</v>
      </c>
      <c r="F14" s="24">
        <f>($B$9*LCI!C7)+($G$9*LCI!D7)+($I$9*LCI!F7)+($J$9*LCI!G7)</f>
        <v>0</v>
      </c>
      <c r="G14" s="3"/>
      <c r="H14" s="3" t="s">
        <v>70</v>
      </c>
      <c r="I14" s="3"/>
      <c r="J14" s="3"/>
      <c r="K14" s="3"/>
      <c r="L14" s="3"/>
      <c r="O14" s="47" t="s">
        <v>29</v>
      </c>
      <c r="P14" s="48">
        <v>0.11</v>
      </c>
      <c r="Q14" s="48">
        <v>0.02</v>
      </c>
      <c r="R14" s="48">
        <v>0.15</v>
      </c>
    </row>
    <row r="15" spans="1:18" x14ac:dyDescent="0.35">
      <c r="A15" t="s">
        <v>9</v>
      </c>
      <c r="B15" s="24">
        <f>($B$5*LCI!C8)+($G$5*LCI!D8)+($I$5*LCI!F8)+($J$5*LCI!G8)</f>
        <v>2852.6774371339961</v>
      </c>
      <c r="C15" s="24">
        <f>($B$6*LCI!C8)+($G$6*LCI!D8)+($I$6*LCI!F8)+($J$6*LCI!G8)</f>
        <v>2935.8064456551515</v>
      </c>
      <c r="D15" s="24">
        <f>($B$7*LCI!C8)+($G$7*LCI!D8)+($I$7*LCI!F8)+($J$7*LCI!G8)</f>
        <v>1699.6868848427373</v>
      </c>
      <c r="E15" s="24">
        <f>($B$8*LCI!C8)+($G$8*LCI!D8)+($I$8*LCI!F8)+($J$8*LCI!G8)</f>
        <v>0</v>
      </c>
      <c r="F15" s="24">
        <f>($B$9*LCI!C8)+($G$9*LCI!D8)+($I$9*LCI!F8)+($J$9*LCI!G8)</f>
        <v>0</v>
      </c>
      <c r="G15" s="3"/>
      <c r="H15" s="3" t="s">
        <v>71</v>
      </c>
      <c r="I15" s="3"/>
      <c r="J15" s="3"/>
      <c r="K15" s="3"/>
      <c r="L15" s="3"/>
      <c r="O15" s="45" t="s">
        <v>31</v>
      </c>
      <c r="P15" s="46">
        <v>1</v>
      </c>
      <c r="Q15" s="46">
        <v>1</v>
      </c>
      <c r="R15" s="46">
        <v>1</v>
      </c>
    </row>
    <row r="16" spans="1:18" x14ac:dyDescent="0.35">
      <c r="A16" t="s">
        <v>10</v>
      </c>
      <c r="B16" s="24">
        <f>($B$5*LCI!C9)+($G$5*LCI!D9)+($I$5*LCI!F9)+($J$5*LCI!G9)</f>
        <v>28.951438467113523</v>
      </c>
      <c r="C16" s="24">
        <f>($B$6*LCI!C9)+($G$6*LCI!D9)+($I$6*LCI!F9)+($J$6*LCI!G9)</f>
        <v>27.584389948591685</v>
      </c>
      <c r="D16" s="24">
        <f>($B$7*LCI!C9)+($G$7*LCI!D9)+($I$7*LCI!F9)+($J$7*LCI!G9)</f>
        <v>29.903295809289883</v>
      </c>
      <c r="E16" s="24">
        <f>($B$8*LCI!C9)+($G$8*LCI!D9)+($I$8*LCI!F9)+($J$8*LCI!G9)</f>
        <v>0</v>
      </c>
      <c r="F16" s="24">
        <f>($B$9*LCI!C9)+($G$9*LCI!D9)+($I$9*LCI!F9)+($J$9*LCI!G9)</f>
        <v>0</v>
      </c>
      <c r="G16" s="3"/>
      <c r="H16" s="3" t="s">
        <v>72</v>
      </c>
      <c r="I16" s="3">
        <v>547.5</v>
      </c>
      <c r="J16" s="3"/>
      <c r="K16" s="3"/>
      <c r="L16" s="3"/>
    </row>
    <row r="17" spans="1:12" x14ac:dyDescent="0.35">
      <c r="A17" t="s">
        <v>11</v>
      </c>
      <c r="B17" s="24">
        <f>($B$5*LCI!C10)+($G$5*LCI!D10)+($I$5*LCI!F10)+($J$5*LCI!G10)</f>
        <v>4.0776309195828822E-2</v>
      </c>
      <c r="C17" s="24">
        <f>($B$6*LCI!C10)+($G$6*LCI!D10)+($I$6*LCI!F10)+($J$6*LCI!G10)</f>
        <v>4.0799066645387613E-2</v>
      </c>
      <c r="D17" s="24">
        <f>($B$7*LCI!C10)+($G$7*LCI!D10)+($I$7*LCI!F10)+($J$7*LCI!G10)</f>
        <v>2.6744331530722053E-2</v>
      </c>
      <c r="E17" s="24">
        <f>($B$8*LCI!C10)+($G$8*LCI!D10)+($I$8*LCI!F10)+($J$8*LCI!G10)</f>
        <v>0</v>
      </c>
      <c r="F17" s="24">
        <f>($B$9*LCI!C10)+($G$9*LCI!D10)+($I$9*LCI!F10)+($J$9*LCI!G10)</f>
        <v>0</v>
      </c>
      <c r="G17" s="3"/>
      <c r="H17" s="3" t="s">
        <v>73</v>
      </c>
      <c r="I17" s="3">
        <v>1015</v>
      </c>
      <c r="J17" s="3"/>
      <c r="K17" s="3"/>
      <c r="L17" s="3"/>
    </row>
    <row r="18" spans="1:12" x14ac:dyDescent="0.35">
      <c r="A18" t="s">
        <v>12</v>
      </c>
      <c r="B18" s="24">
        <f>($B$5*LCI!C11)+($G$5*LCI!D11)+($I$5*LCI!F11)+($J$5*LCI!G11)</f>
        <v>0.25592041150679418</v>
      </c>
      <c r="C18" s="24">
        <f>($B$6*LCI!C11)+($G$6*LCI!D11)+($I$6*LCI!F11)+($J$6*LCI!G11)</f>
        <v>0.25875379692468686</v>
      </c>
      <c r="D18" s="24">
        <f>($B$7*LCI!C11)+($G$7*LCI!D11)+($I$7*LCI!F11)+($J$7*LCI!G11)</f>
        <v>0.28148682107021433</v>
      </c>
      <c r="E18" s="24">
        <f>($B$8*LCI!C11)+($G$8*LCI!D11)+($I$8*LCI!F11)+($J$8*LCI!G11)</f>
        <v>0</v>
      </c>
      <c r="F18" s="24">
        <f>($B$9*LCI!C11)+($G$9*LCI!D11)+($I$9*LCI!F11)+($J$9*LCI!G11)</f>
        <v>0</v>
      </c>
      <c r="G18" s="4"/>
      <c r="H18" s="4" t="s">
        <v>74</v>
      </c>
      <c r="I18" s="51">
        <v>537500</v>
      </c>
      <c r="J18" s="4"/>
      <c r="K18" s="4"/>
      <c r="L18" s="4"/>
    </row>
    <row r="19" spans="1:12" x14ac:dyDescent="0.35">
      <c r="A19" t="s">
        <v>13</v>
      </c>
      <c r="B19" s="24">
        <f>($B$5*LCI!C12)+($G$5*LCI!D12)+($I$5*LCI!F12)+($J$5*LCI!G12)</f>
        <v>0.26865111601214853</v>
      </c>
      <c r="C19" s="24">
        <f>($B$6*LCI!C12)+($G$6*LCI!D12)+($I$6*LCI!F12)+($J$6*LCI!G12)</f>
        <v>0.25994342908211598</v>
      </c>
      <c r="D19" s="24">
        <f>($B$7*LCI!C12)+($G$7*LCI!D12)+($I$7*LCI!F12)+($J$7*LCI!G12)</f>
        <v>0.18246867074717854</v>
      </c>
      <c r="E19" s="24">
        <f>($B$8*LCI!C12)+($G$8*LCI!D12)+($I$8*LCI!F12)+($J$8*LCI!G12)</f>
        <v>0</v>
      </c>
      <c r="F19" s="24">
        <f>($B$9*LCI!C12)+($G$9*LCI!D12)+($I$9*LCI!F12)+($J$9*LCI!G12)</f>
        <v>0</v>
      </c>
      <c r="G19" s="4"/>
      <c r="H19" s="4" t="s">
        <v>75</v>
      </c>
      <c r="I19" s="52">
        <f>I18*I17</f>
        <v>545562500</v>
      </c>
      <c r="J19" s="4"/>
      <c r="K19" s="4"/>
      <c r="L19" s="4"/>
    </row>
    <row r="20" spans="1:12" x14ac:dyDescent="0.35">
      <c r="A20" t="s">
        <v>14</v>
      </c>
      <c r="B20" s="24">
        <f>($B$5*LCI!C13)+($G$5*LCI!D13)+($I$5*LCI!F13)+($J$5*LCI!G13)</f>
        <v>3.1261562247601987E-2</v>
      </c>
      <c r="C20" s="24">
        <f>($B$6*LCI!C13)+($G$6*LCI!D13)+($I$6*LCI!F13)+($J$6*LCI!G13)</f>
        <v>2.7390326513570575E-2</v>
      </c>
      <c r="D20" s="24">
        <f>($B$7*LCI!C13)+($G$7*LCI!D13)+($I$7*LCI!F13)+($J$7*LCI!G13)</f>
        <v>2.6389021744168722E-2</v>
      </c>
      <c r="E20" s="24">
        <f>($B$8*LCI!C13)+($G$8*LCI!D13)+($I$8*LCI!F13)+($J$8*LCI!G13)</f>
        <v>0</v>
      </c>
      <c r="F20" s="24">
        <f>($B$9*LCI!C13)+($G$9*LCI!D13)+($I$9*LCI!F13)+($J$9*LCI!G13)</f>
        <v>0</v>
      </c>
      <c r="G20" s="4"/>
      <c r="H20" s="4"/>
      <c r="I20" s="4"/>
      <c r="J20" s="4"/>
      <c r="K20" s="4"/>
      <c r="L20" s="4"/>
    </row>
    <row r="21" spans="1:12" x14ac:dyDescent="0.35">
      <c r="A21" t="s">
        <v>15</v>
      </c>
      <c r="B21" s="24">
        <f>($B$5*LCI!C14)+($G$5*LCI!D14)+($I$5*LCI!F14)+($J$5*LCI!G14)</f>
        <v>2.3173498422785085E-2</v>
      </c>
      <c r="C21" s="24">
        <f>($B$6*LCI!C14)+($G$6*LCI!D14)+($I$6*LCI!F14)+($J$6*LCI!G14)</f>
        <v>2.0972112902929073E-2</v>
      </c>
      <c r="D21" s="24">
        <f>($B$7*LCI!C14)+($G$7*LCI!D14)+($I$7*LCI!F14)+($J$7*LCI!G14)</f>
        <v>2.3749676142995162E-2</v>
      </c>
      <c r="E21" s="24">
        <f>($B$8*LCI!C14)+($G$8*LCI!D14)+($I$8*LCI!F14)+($J$8*LCI!G14)</f>
        <v>0</v>
      </c>
      <c r="F21" s="24">
        <f>($B$9*LCI!C14)+($G$9*LCI!D14)+($I$9*LCI!F14)+($J$9*LCI!G14)</f>
        <v>0</v>
      </c>
      <c r="G21" s="4"/>
      <c r="H21" s="4"/>
      <c r="I21" s="4"/>
      <c r="J21" s="4"/>
      <c r="K21" s="4"/>
      <c r="L21" s="4"/>
    </row>
    <row r="22" spans="1:12" x14ac:dyDescent="0.35">
      <c r="A22" t="s">
        <v>16</v>
      </c>
      <c r="B22" s="24">
        <f>($B$5*LCI!C15)+($G$5*LCI!D15)+($I$5*LCI!F15)+($J$5*LCI!G15)</f>
        <v>0.17721235980080877</v>
      </c>
      <c r="C22" s="24">
        <f>($B$6*LCI!C15)+($G$6*LCI!D15)+($I$6*LCI!F15)+($J$6*LCI!G15)</f>
        <v>0.14321334744016812</v>
      </c>
      <c r="D22" s="24">
        <f>($B$7*LCI!C15)+($G$7*LCI!D15)+($I$7*LCI!F15)+($J$7*LCI!G15)</f>
        <v>2.9634659705622627E-2</v>
      </c>
      <c r="E22" s="24">
        <f>($B$8*LCI!C15)+($G$8*LCI!D15)+($I$8*LCI!F15)+($J$8*LCI!G15)</f>
        <v>0</v>
      </c>
      <c r="F22" s="24">
        <f>($B$9*LCI!C15)+($G$9*LCI!D15)+($I$9*LCI!F15)+($J$9*LCI!G15)</f>
        <v>0</v>
      </c>
      <c r="G22" s="4"/>
      <c r="H22" s="4"/>
      <c r="I22" s="4"/>
      <c r="J22" s="4"/>
      <c r="K22" s="4"/>
      <c r="L22" s="4"/>
    </row>
    <row r="23" spans="1:12" x14ac:dyDescent="0.35">
      <c r="A23" t="s">
        <v>17</v>
      </c>
      <c r="B23" s="24">
        <f>($B$5*LCI!C16)+($G$5*LCI!D16)+($I$5*LCI!F16)+($J$5*LCI!G16)</f>
        <v>0.61207759834517439</v>
      </c>
      <c r="C23" s="24">
        <f>($B$6*LCI!C16)+($G$6*LCI!D16)+($I$6*LCI!F16)+($J$6*LCI!G16)</f>
        <v>0.61237041827058547</v>
      </c>
      <c r="D23" s="24">
        <f>($B$7*LCI!C16)+($G$7*LCI!D16)+($I$7*LCI!F16)+($J$7*LCI!G16)</f>
        <v>0.33467505790766461</v>
      </c>
      <c r="E23" s="24">
        <f>($B$8*LCI!C16)+($G$8*LCI!D16)+($I$8*LCI!F16)+($J$8*LCI!G16)</f>
        <v>0</v>
      </c>
      <c r="F23" s="24">
        <f>($B$9*LCI!C16)+($G$9*LCI!D16)+($I$9*LCI!F16)+($J$9*LCI!G16)</f>
        <v>0</v>
      </c>
      <c r="G23" s="3"/>
      <c r="H23" s="3"/>
      <c r="I23" s="3"/>
      <c r="J23" s="3"/>
      <c r="K23" s="3"/>
      <c r="L23" s="3"/>
    </row>
    <row r="24" spans="1:12" x14ac:dyDescent="0.35">
      <c r="A24" t="s">
        <v>18</v>
      </c>
      <c r="B24" s="24">
        <f>($B$5*LCI!C17)+($G$5*LCI!D17)+($I$5*LCI!F17)+($J$5*LCI!G17)</f>
        <v>6.8121892584454584E-3</v>
      </c>
      <c r="C24" s="24">
        <f>($B$6*LCI!C17)+($G$6*LCI!D17)+($I$6*LCI!F17)+($J$6*LCI!G17)</f>
        <v>6.763102134311764E-3</v>
      </c>
      <c r="D24" s="24">
        <f>($B$7*LCI!C17)+($G$7*LCI!D17)+($I$7*LCI!F17)+($J$7*LCI!G17)</f>
        <v>6.4554691704264006E-3</v>
      </c>
      <c r="E24" s="24">
        <f>($B$8*LCI!C17)+($G$8*LCI!D17)+($I$8*LCI!F17)+($J$8*LCI!G17)</f>
        <v>0</v>
      </c>
      <c r="F24" s="24">
        <f>($B$9*LCI!C17)+($G$9*LCI!D17)+($I$9*LCI!F17)+($J$9*LCI!G17)</f>
        <v>0</v>
      </c>
      <c r="G24" s="3"/>
      <c r="H24" s="3"/>
      <c r="I24" s="3"/>
      <c r="J24" s="3"/>
      <c r="K24" s="3"/>
      <c r="L24" s="3"/>
    </row>
    <row r="25" spans="1:12" x14ac:dyDescent="0.35">
      <c r="A25" t="s">
        <v>19</v>
      </c>
      <c r="B25" s="24">
        <f>($B$5*LCI!C18)+($G$5*LCI!D18)+($I$5*LCI!F18)+($J$5*LCI!G18)</f>
        <v>214.51537548216396</v>
      </c>
      <c r="C25" s="24">
        <f>($B$6*LCI!C18)+($G$6*LCI!D18)+($I$6*LCI!F18)+($J$6*LCI!G18)</f>
        <v>208.83189349322322</v>
      </c>
      <c r="D25" s="24">
        <f>($B$7*LCI!C18)+($G$7*LCI!D18)+($I$7*LCI!F18)+($J$7*LCI!G18)</f>
        <v>103.82651632304187</v>
      </c>
      <c r="E25" s="24">
        <f>($B$8*LCI!C18)+($G$8*LCI!D18)+($I$8*LCI!F18)+($J$8*LCI!G18)</f>
        <v>0</v>
      </c>
      <c r="F25" s="24">
        <f>($B$9*LCI!C18)+($G$9*LCI!D18)+($I$9*LCI!F18)+($J$9*LCI!G18)</f>
        <v>0</v>
      </c>
      <c r="G25" s="3"/>
      <c r="H25" s="3"/>
      <c r="I25" s="3"/>
      <c r="J25" s="3"/>
      <c r="K25" s="3"/>
      <c r="L25" s="3"/>
    </row>
    <row r="26" spans="1:12" x14ac:dyDescent="0.35">
      <c r="A26" t="s">
        <v>20</v>
      </c>
      <c r="B26" s="24">
        <f>($B$5*LCI!C19)+($G$5*LCI!D19)+($I$5*LCI!F19)+($J$5*LCI!G19)</f>
        <v>215.04462229247781</v>
      </c>
      <c r="C26" s="24">
        <f>($B$6*LCI!C19)+($G$6*LCI!D19)+($I$6*LCI!F19)+($J$6*LCI!G19)</f>
        <v>209.3656636937211</v>
      </c>
      <c r="D26" s="24">
        <f>($B$7*LCI!C19)+($G$7*LCI!D19)+($I$7*LCI!F19)+($J$7*LCI!G19)</f>
        <v>104.35220592275631</v>
      </c>
      <c r="E26" s="24">
        <f>($B$8*LCI!C19)+($G$8*LCI!D19)+($I$8*LCI!F19)+($J$8*LCI!G19)</f>
        <v>0</v>
      </c>
      <c r="F26" s="24">
        <f>($B$9*LCI!C19)+($G$9*LCI!D19)+($I$9*LCI!F19)+($J$9*LCI!G19)</f>
        <v>0</v>
      </c>
      <c r="G26" s="3"/>
      <c r="H26" s="3"/>
      <c r="I26" s="3"/>
      <c r="J26" s="3"/>
      <c r="K26" s="3"/>
      <c r="L26" s="3"/>
    </row>
    <row r="27" spans="1:12" x14ac:dyDescent="0.35">
      <c r="A27" t="s">
        <v>44</v>
      </c>
      <c r="B27" s="24">
        <f>($B$5*LCI!C20)+($G$5*LCI!D20)+($I$5*LCI!F20)+($J$5*LCI!G20)+F5*LCI!T5+E5*LCI!U5+(H5+D5)*LCI!V5+C5*LCI!O5</f>
        <v>244.19462865012389</v>
      </c>
      <c r="C27" s="24">
        <f>($B$6*LCI!C20)+($G$6*LCI!D20)+($I$6*LCI!F20)+($J$6*LCI!G20)+F6*LCI!T5+E6*LCI!U5+(H6+D6)*LCI!V5+C6*LCI!O5</f>
        <v>239.06454238651057</v>
      </c>
      <c r="D27" s="24">
        <f>($B$7*LCI!C20)+($G$7*LCI!D20)+($I$7*LCI!F20)+($J$7*LCI!G20)+F7*LCI!T5+E7*LCI!U5+(H7+D7)*LCI!V5+K7*I28+C7*LCI!O5</f>
        <v>136.47703208323495</v>
      </c>
      <c r="E27" s="24">
        <f>($B$8*LCI!C20)+($G$8*LCI!D20)+($I$8*LCI!F20)+($J$8*LCI!G20)+F8*LCI!T5+E8*LCI!U5+K8*I28+H8*LCI!V5</f>
        <v>85.7168712</v>
      </c>
      <c r="F27" s="24">
        <f>($B$9*LCI!C20)+($G$9*LCI!D20)+($I$9*LCI!F20)+($J$9*LCI!G20)+F9*LCI!T5+E9*LCI!U5+D9*LCI!V5</f>
        <v>22.088163599999998</v>
      </c>
    </row>
    <row r="28" spans="1:12" x14ac:dyDescent="0.35">
      <c r="D28" t="s">
        <v>78</v>
      </c>
      <c r="E28" t="s">
        <v>77</v>
      </c>
      <c r="H28" t="s">
        <v>79</v>
      </c>
      <c r="I28">
        <v>429</v>
      </c>
      <c r="J28" t="s">
        <v>80</v>
      </c>
    </row>
    <row r="30" spans="1:12" x14ac:dyDescent="0.35">
      <c r="A30" t="s">
        <v>47</v>
      </c>
      <c r="D30">
        <f>($B$7*LCI!C20)+($G$7*LCI!D20)+($I$7*LCI!F20)+($J$7*LCI!G20)+F7*LCI!H20+E7*LCI!I20+H7*LCI!J20</f>
        <v>125.80391218323497</v>
      </c>
      <c r="E30">
        <f>($B$8*LCI!C20)+($G$8*LCI!D20)+($I$8*LCI!F20)+($J$8*LCI!G20)+F8*LCI!H20+E8*LCI!I20+H8*LCI!J20</f>
        <v>20.368799999999997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workbookViewId="0">
      <selection activeCell="AF28" sqref="AF28"/>
    </sheetView>
  </sheetViews>
  <sheetFormatPr defaultColWidth="10.6640625" defaultRowHeight="15.5" x14ac:dyDescent="0.35"/>
  <cols>
    <col min="1" max="1" width="18.1640625" customWidth="1"/>
  </cols>
  <sheetData>
    <row r="1" spans="1:38" x14ac:dyDescent="0.35">
      <c r="A1" s="66" t="s">
        <v>41</v>
      </c>
      <c r="B1" s="67"/>
      <c r="C1" s="29">
        <v>1</v>
      </c>
      <c r="D1" s="29">
        <f>C1+1</f>
        <v>2</v>
      </c>
      <c r="E1" s="29">
        <f t="shared" ref="E1:AK1" si="0">D1+1</f>
        <v>3</v>
      </c>
      <c r="F1" s="29">
        <f t="shared" si="0"/>
        <v>4</v>
      </c>
      <c r="G1" s="29">
        <f t="shared" si="0"/>
        <v>5</v>
      </c>
      <c r="H1" s="29">
        <f t="shared" si="0"/>
        <v>6</v>
      </c>
      <c r="I1" s="29">
        <f t="shared" si="0"/>
        <v>7</v>
      </c>
      <c r="J1" s="29">
        <f t="shared" si="0"/>
        <v>8</v>
      </c>
      <c r="K1" s="29">
        <f t="shared" si="0"/>
        <v>9</v>
      </c>
      <c r="L1" s="29">
        <f t="shared" si="0"/>
        <v>10</v>
      </c>
      <c r="M1" s="29">
        <f t="shared" si="0"/>
        <v>11</v>
      </c>
      <c r="N1" s="29">
        <f t="shared" si="0"/>
        <v>12</v>
      </c>
      <c r="O1" s="29">
        <f t="shared" si="0"/>
        <v>13</v>
      </c>
      <c r="P1" s="29">
        <f t="shared" si="0"/>
        <v>14</v>
      </c>
      <c r="Q1" s="29">
        <f t="shared" si="0"/>
        <v>15</v>
      </c>
      <c r="R1" s="29">
        <f t="shared" si="0"/>
        <v>16</v>
      </c>
      <c r="S1" s="29">
        <f t="shared" si="0"/>
        <v>17</v>
      </c>
      <c r="T1" s="29">
        <f t="shared" si="0"/>
        <v>18</v>
      </c>
      <c r="U1" s="29">
        <f t="shared" si="0"/>
        <v>19</v>
      </c>
      <c r="V1" s="29">
        <f t="shared" si="0"/>
        <v>20</v>
      </c>
      <c r="W1" s="29">
        <f t="shared" si="0"/>
        <v>21</v>
      </c>
      <c r="X1" s="29">
        <f t="shared" si="0"/>
        <v>22</v>
      </c>
      <c r="Y1" s="29">
        <f t="shared" si="0"/>
        <v>23</v>
      </c>
      <c r="Z1" s="29">
        <f t="shared" si="0"/>
        <v>24</v>
      </c>
      <c r="AA1" s="29">
        <f t="shared" si="0"/>
        <v>25</v>
      </c>
      <c r="AB1" s="29">
        <f t="shared" si="0"/>
        <v>26</v>
      </c>
      <c r="AC1" s="29">
        <f t="shared" si="0"/>
        <v>27</v>
      </c>
      <c r="AD1" s="29">
        <f t="shared" si="0"/>
        <v>28</v>
      </c>
      <c r="AE1" s="29">
        <f t="shared" si="0"/>
        <v>29</v>
      </c>
      <c r="AF1" s="57">
        <f t="shared" si="0"/>
        <v>30</v>
      </c>
      <c r="AG1" s="29">
        <f t="shared" si="0"/>
        <v>31</v>
      </c>
      <c r="AH1" s="29">
        <f t="shared" si="0"/>
        <v>32</v>
      </c>
      <c r="AI1" s="29">
        <f t="shared" si="0"/>
        <v>33</v>
      </c>
      <c r="AJ1" s="29">
        <f t="shared" si="0"/>
        <v>34</v>
      </c>
      <c r="AK1" s="29">
        <f t="shared" si="0"/>
        <v>35</v>
      </c>
      <c r="AL1" s="30">
        <v>36</v>
      </c>
    </row>
    <row r="2" spans="1:38" x14ac:dyDescent="0.35">
      <c r="A2" s="31"/>
      <c r="B2" s="32" t="s">
        <v>42</v>
      </c>
      <c r="C2">
        <v>2015</v>
      </c>
      <c r="D2">
        <v>2016</v>
      </c>
      <c r="E2" s="33">
        <v>2017</v>
      </c>
      <c r="F2" s="33">
        <v>2018</v>
      </c>
      <c r="G2" s="33">
        <v>2019</v>
      </c>
      <c r="H2" s="33">
        <v>2020</v>
      </c>
      <c r="I2" s="33">
        <v>2021</v>
      </c>
      <c r="J2" s="33">
        <v>2022</v>
      </c>
      <c r="K2" s="33">
        <v>2023</v>
      </c>
      <c r="L2" s="33">
        <v>2024</v>
      </c>
      <c r="M2" s="33">
        <v>2025</v>
      </c>
      <c r="N2" s="33">
        <v>2026</v>
      </c>
      <c r="O2" s="33">
        <v>2027</v>
      </c>
      <c r="P2" s="33">
        <v>2028</v>
      </c>
      <c r="Q2" s="33">
        <v>2029</v>
      </c>
      <c r="R2" s="33">
        <v>2030</v>
      </c>
      <c r="S2" s="33">
        <v>2031</v>
      </c>
      <c r="T2" s="34">
        <v>2032</v>
      </c>
      <c r="U2" s="34">
        <v>2033</v>
      </c>
      <c r="V2" s="34">
        <v>2034</v>
      </c>
      <c r="W2" s="34">
        <v>2035</v>
      </c>
      <c r="X2" s="34">
        <v>2036</v>
      </c>
      <c r="Y2" s="34">
        <v>2037</v>
      </c>
      <c r="Z2" s="62">
        <v>2038</v>
      </c>
      <c r="AA2" s="62">
        <v>2039</v>
      </c>
      <c r="AB2" s="34">
        <v>2040</v>
      </c>
      <c r="AC2" s="34">
        <v>2041</v>
      </c>
      <c r="AD2" s="34">
        <v>2042</v>
      </c>
      <c r="AE2" s="34">
        <v>2043</v>
      </c>
      <c r="AF2" s="58">
        <v>2044</v>
      </c>
      <c r="AG2" s="34">
        <v>2045</v>
      </c>
      <c r="AH2" s="34">
        <v>2046</v>
      </c>
      <c r="AI2" s="34">
        <v>2047</v>
      </c>
      <c r="AJ2" s="34">
        <v>2048</v>
      </c>
      <c r="AK2" s="34">
        <v>2049</v>
      </c>
      <c r="AL2" s="35">
        <v>2050</v>
      </c>
    </row>
    <row r="3" spans="1:38" x14ac:dyDescent="0.35">
      <c r="A3" s="31"/>
      <c r="B3" s="36" t="s">
        <v>43</v>
      </c>
      <c r="C3" s="37">
        <v>296.7</v>
      </c>
      <c r="D3" s="37">
        <v>296.7</v>
      </c>
      <c r="E3" s="38">
        <v>296.70990487761907</v>
      </c>
      <c r="F3" s="38">
        <v>308.43972362254323</v>
      </c>
      <c r="G3" s="38">
        <v>297.14347275216664</v>
      </c>
      <c r="H3" s="38">
        <v>228.04517998102048</v>
      </c>
      <c r="I3" s="38">
        <v>216.52814261433704</v>
      </c>
      <c r="J3" s="38">
        <v>189.96842998451137</v>
      </c>
      <c r="K3" s="38">
        <v>160.28318809474865</v>
      </c>
      <c r="L3" s="38">
        <v>149.82474714358293</v>
      </c>
      <c r="M3" s="38">
        <v>165.95248481794692</v>
      </c>
      <c r="N3" s="38">
        <v>180.38586739194309</v>
      </c>
      <c r="O3" s="38">
        <v>174.70582108286189</v>
      </c>
      <c r="P3" s="38">
        <v>168.48065208437518</v>
      </c>
      <c r="Q3" s="38">
        <v>161.08384915561237</v>
      </c>
      <c r="R3" s="38">
        <v>149.27866810481626</v>
      </c>
      <c r="S3" s="38">
        <v>135.03198877034654</v>
      </c>
      <c r="T3" s="38">
        <v>127.35297263332707</v>
      </c>
      <c r="U3" s="38">
        <v>123.24043488512514</v>
      </c>
      <c r="V3" s="38">
        <v>123.82750772694965</v>
      </c>
      <c r="W3" s="38">
        <v>120.82561085679373</v>
      </c>
      <c r="X3" s="38">
        <v>117.8984187820661</v>
      </c>
      <c r="Y3" s="38">
        <v>114.66616246819925</v>
      </c>
      <c r="Z3" s="38">
        <v>112.41401692472863</v>
      </c>
      <c r="AA3" s="38">
        <v>112.81791013953298</v>
      </c>
      <c r="AB3" s="38">
        <v>109.26305492203419</v>
      </c>
      <c r="AC3" s="38">
        <v>108.83296832887483</v>
      </c>
      <c r="AD3" s="38">
        <v>108.44009591805896</v>
      </c>
      <c r="AE3" s="38">
        <v>107.20652872167464</v>
      </c>
      <c r="AF3" s="59">
        <v>105.68886624481213</v>
      </c>
      <c r="AG3" s="38">
        <v>103.98157050390826</v>
      </c>
      <c r="AH3" s="38">
        <v>98.728173105864514</v>
      </c>
      <c r="AI3" s="38">
        <v>97.106936057716027</v>
      </c>
      <c r="AJ3" s="38">
        <v>96.324641732165063</v>
      </c>
      <c r="AK3" s="38">
        <v>96.691538653776874</v>
      </c>
      <c r="AL3" s="39">
        <v>94.818834262113739</v>
      </c>
    </row>
    <row r="4" spans="1:38" x14ac:dyDescent="0.35">
      <c r="AA4" s="63"/>
      <c r="AF4" s="60"/>
    </row>
    <row r="5" spans="1:38" x14ac:dyDescent="0.35">
      <c r="A5" t="s">
        <v>45</v>
      </c>
      <c r="H5">
        <v>682</v>
      </c>
      <c r="I5">
        <f>H5+(C32-H5)/5</f>
        <v>730.83456790123455</v>
      </c>
      <c r="J5">
        <f>I5+(C32-H5)/5</f>
        <v>779.6691358024691</v>
      </c>
      <c r="K5">
        <f>J5+(C32-H5)/5</f>
        <v>828.50370370370365</v>
      </c>
      <c r="L5">
        <f>K5+(C32-H5)/5</f>
        <v>877.3382716049382</v>
      </c>
      <c r="M5">
        <f>L5+(C32-H5)/5</f>
        <v>926.17283950617275</v>
      </c>
      <c r="N5">
        <f>M5</f>
        <v>926.17283950617275</v>
      </c>
      <c r="O5">
        <f t="shared" ref="O5:AG5" si="1">N5</f>
        <v>926.17283950617275</v>
      </c>
      <c r="P5">
        <f t="shared" si="1"/>
        <v>926.17283950617275</v>
      </c>
      <c r="Q5">
        <f t="shared" si="1"/>
        <v>926.17283950617275</v>
      </c>
      <c r="R5">
        <f t="shared" si="1"/>
        <v>926.17283950617275</v>
      </c>
      <c r="S5">
        <f t="shared" si="1"/>
        <v>926.17283950617275</v>
      </c>
      <c r="T5">
        <f t="shared" si="1"/>
        <v>926.17283950617275</v>
      </c>
      <c r="U5">
        <f t="shared" si="1"/>
        <v>926.17283950617275</v>
      </c>
      <c r="V5">
        <f t="shared" si="1"/>
        <v>926.17283950617275</v>
      </c>
      <c r="W5">
        <f t="shared" si="1"/>
        <v>926.17283950617275</v>
      </c>
      <c r="X5">
        <f t="shared" si="1"/>
        <v>926.17283950617275</v>
      </c>
      <c r="Y5">
        <f t="shared" si="1"/>
        <v>926.17283950617275</v>
      </c>
      <c r="Z5">
        <f t="shared" si="1"/>
        <v>926.17283950617275</v>
      </c>
      <c r="AA5" s="63">
        <f t="shared" si="1"/>
        <v>926.17283950617275</v>
      </c>
      <c r="AB5">
        <f t="shared" si="1"/>
        <v>926.17283950617275</v>
      </c>
      <c r="AC5">
        <f t="shared" si="1"/>
        <v>926.17283950617275</v>
      </c>
      <c r="AD5">
        <f t="shared" si="1"/>
        <v>926.17283950617275</v>
      </c>
      <c r="AE5">
        <f t="shared" si="1"/>
        <v>926.17283950617275</v>
      </c>
      <c r="AF5" s="60">
        <f t="shared" si="1"/>
        <v>926.17283950617275</v>
      </c>
      <c r="AG5">
        <f t="shared" si="1"/>
        <v>926.17283950617275</v>
      </c>
    </row>
    <row r="6" spans="1:38" x14ac:dyDescent="0.35">
      <c r="AA6" s="63"/>
      <c r="AF6" s="60"/>
    </row>
    <row r="7" spans="1:38" x14ac:dyDescent="0.35">
      <c r="A7" t="s">
        <v>48</v>
      </c>
      <c r="B7" t="s">
        <v>50</v>
      </c>
      <c r="C7" t="s">
        <v>57</v>
      </c>
      <c r="D7" t="s">
        <v>58</v>
      </c>
      <c r="E7" t="s">
        <v>60</v>
      </c>
      <c r="H7">
        <f>'Power Mix and Emissions'!$E$30+'Power Mix and Emissions'!$K$8*Emissions!H3</f>
        <v>54.575576997153064</v>
      </c>
      <c r="I7">
        <f>'Power Mix and Emissions'!$E$30+'Power Mix and Emissions'!$K$8*Emissions!I3</f>
        <v>52.848021392150557</v>
      </c>
      <c r="J7">
        <f>'Power Mix and Emissions'!$E$30+'Power Mix and Emissions'!$K$8*Emissions!J3</f>
        <v>48.864064497676701</v>
      </c>
      <c r="K7">
        <f>'Power Mix and Emissions'!$E$30+'Power Mix and Emissions'!$K$8*Emissions!K3</f>
        <v>44.411278214212295</v>
      </c>
      <c r="L7">
        <f>'Power Mix and Emissions'!$E$30+'Power Mix and Emissions'!$K$8*Emissions!L3</f>
        <v>42.842512071537435</v>
      </c>
      <c r="M7">
        <f>'Power Mix and Emissions'!$E$30+'Power Mix and Emissions'!$K$8*Emissions!M3</f>
        <v>45.261672722692033</v>
      </c>
      <c r="N7">
        <f>'Power Mix and Emissions'!$E$30+'Power Mix and Emissions'!$K$8*Emissions!N3</f>
        <v>47.426680108791459</v>
      </c>
      <c r="O7">
        <f>'Power Mix and Emissions'!$E$30+'Power Mix and Emissions'!$K$8*Emissions!O3</f>
        <v>46.574673162429278</v>
      </c>
      <c r="P7">
        <f>'Power Mix and Emissions'!$E$30+'Power Mix and Emissions'!$K$8*Emissions!P3</f>
        <v>45.640897812656277</v>
      </c>
      <c r="Q7">
        <f>'Power Mix and Emissions'!$E$30+'Power Mix and Emissions'!$K$8*Emissions!Q3</f>
        <v>44.531377373341854</v>
      </c>
      <c r="R7">
        <f>'Power Mix and Emissions'!$E$30+'Power Mix and Emissions'!$K$8*Emissions!R3</f>
        <v>42.760600215722434</v>
      </c>
      <c r="S7">
        <f>'Power Mix and Emissions'!$E$30+'Power Mix and Emissions'!$K$8*Emissions!S3</f>
        <v>40.623598315551973</v>
      </c>
      <c r="T7">
        <f>'Power Mix and Emissions'!$E$30+'Power Mix and Emissions'!$K$8*Emissions!T3</f>
        <v>39.47174589499906</v>
      </c>
      <c r="U7">
        <f>'Power Mix and Emissions'!$E$30+'Power Mix and Emissions'!$K$8*Emissions!U3</f>
        <v>38.854865232768766</v>
      </c>
      <c r="V7">
        <f>'Power Mix and Emissions'!$E$30+'Power Mix and Emissions'!$K$8*Emissions!V3</f>
        <v>38.942926159042443</v>
      </c>
      <c r="W7">
        <f>'Power Mix and Emissions'!$E$30+'Power Mix and Emissions'!$K$8*Emissions!W3</f>
        <v>38.492641628519053</v>
      </c>
      <c r="X7">
        <f>'Power Mix and Emissions'!$E$30+'Power Mix and Emissions'!$K$8*Emissions!X3</f>
        <v>38.05356281730991</v>
      </c>
      <c r="Y7">
        <f>'Power Mix and Emissions'!$E$30+'Power Mix and Emissions'!$K$8*Emissions!Y3</f>
        <v>37.568724370229887</v>
      </c>
      <c r="Z7">
        <f>'Power Mix and Emissions'!$E$30+'Power Mix and Emissions'!$K$8*Emissions!Z3</f>
        <v>37.230902538709287</v>
      </c>
      <c r="AA7" s="63">
        <f>'Power Mix and Emissions'!$E$30+'Power Mix and Emissions'!$K$8*Emissions!AA3</f>
        <v>37.291486520929944</v>
      </c>
      <c r="AB7">
        <f>'Power Mix and Emissions'!$E$30+'Power Mix and Emissions'!$K$8*Emissions!AB3</f>
        <v>36.758258238305125</v>
      </c>
      <c r="AC7">
        <f>'Power Mix and Emissions'!$E$30+'Power Mix and Emissions'!$K$8*Emissions!AC3</f>
        <v>36.693745249331215</v>
      </c>
      <c r="AD7">
        <f>'Power Mix and Emissions'!$E$30+'Power Mix and Emissions'!$K$8*Emissions!AD3</f>
        <v>36.634814387708843</v>
      </c>
      <c r="AE7">
        <f>'Power Mix and Emissions'!$E$30+'Power Mix and Emissions'!$K$8*Emissions!AE3</f>
        <v>36.449779308251195</v>
      </c>
      <c r="AF7" s="60">
        <f>'Power Mix and Emissions'!$E$30+'Power Mix and Emissions'!$K$8*Emissions!AF3</f>
        <v>36.222129936721814</v>
      </c>
      <c r="AG7">
        <f>'Power Mix and Emissions'!$E$30+'Power Mix and Emissions'!$K$8*Emissions!AG3</f>
        <v>35.966035575586233</v>
      </c>
    </row>
    <row r="8" spans="1:38" x14ac:dyDescent="0.35">
      <c r="A8" t="s">
        <v>49</v>
      </c>
      <c r="B8" t="s">
        <v>50</v>
      </c>
      <c r="H8">
        <f>'Power Mix and Emissions'!$D$30+'Power Mix and Emissions'!$K$7*Emissions!H3</f>
        <v>130.36481578285537</v>
      </c>
      <c r="I8">
        <f>'Power Mix and Emissions'!$D$30+'Power Mix and Emissions'!$K$7*Emissions!I3</f>
        <v>130.13447503552172</v>
      </c>
      <c r="J8">
        <f>'Power Mix and Emissions'!$D$30+'Power Mix and Emissions'!$K$7*Emissions!J3</f>
        <v>129.6032807829252</v>
      </c>
      <c r="K8">
        <f>'Power Mix and Emissions'!$D$30+'Power Mix and Emissions'!$K$7*Emissions!K3</f>
        <v>129.00957594512994</v>
      </c>
      <c r="L8">
        <f>'Power Mix and Emissions'!$D$30+'Power Mix and Emissions'!$K$7*Emissions!L3</f>
        <v>128.80040712610662</v>
      </c>
      <c r="M8">
        <f>'Power Mix and Emissions'!$D$30+'Power Mix and Emissions'!$K$7*Emissions!M3</f>
        <v>129.1229618795939</v>
      </c>
      <c r="N8">
        <f>'Power Mix and Emissions'!$D$30+'Power Mix and Emissions'!$K$7*Emissions!N3</f>
        <v>129.41162953107383</v>
      </c>
      <c r="O8">
        <f>'Power Mix and Emissions'!$D$30+'Power Mix and Emissions'!$K$7*Emissions!O3</f>
        <v>129.29802860489221</v>
      </c>
      <c r="P8">
        <f>'Power Mix and Emissions'!$D$30+'Power Mix and Emissions'!$K$7*Emissions!P3</f>
        <v>129.17352522492249</v>
      </c>
      <c r="Q8">
        <f>'Power Mix and Emissions'!$D$30+'Power Mix and Emissions'!$K$7*Emissions!Q3</f>
        <v>129.02558916634723</v>
      </c>
      <c r="R8">
        <f>'Power Mix and Emissions'!$D$30+'Power Mix and Emissions'!$K$7*Emissions!R3</f>
        <v>128.7894855453313</v>
      </c>
      <c r="S8">
        <f>'Power Mix and Emissions'!$D$30+'Power Mix and Emissions'!$K$7*Emissions!S3</f>
        <v>128.50455195864191</v>
      </c>
      <c r="T8">
        <f>'Power Mix and Emissions'!$D$30+'Power Mix and Emissions'!$K$7*Emissions!T3</f>
        <v>128.35097163590152</v>
      </c>
      <c r="U8">
        <f>'Power Mix and Emissions'!$D$30+'Power Mix and Emissions'!$K$7*Emissions!U3</f>
        <v>128.26872088093748</v>
      </c>
      <c r="V8">
        <f>'Power Mix and Emissions'!$D$30+'Power Mix and Emissions'!$K$7*Emissions!V3</f>
        <v>128.28046233777397</v>
      </c>
      <c r="W8">
        <f>'Power Mix and Emissions'!$D$30+'Power Mix and Emissions'!$K$7*Emissions!W3</f>
        <v>128.22042440037086</v>
      </c>
      <c r="X8">
        <f>'Power Mix and Emissions'!$D$30+'Power Mix and Emissions'!$K$7*Emissions!X3</f>
        <v>128.16188055887631</v>
      </c>
      <c r="Y8">
        <f>'Power Mix and Emissions'!$D$30+'Power Mix and Emissions'!$K$7*Emissions!Y3</f>
        <v>128.09723543259895</v>
      </c>
      <c r="Z8">
        <f>'Power Mix and Emissions'!$D$30+'Power Mix and Emissions'!$K$7*Emissions!Z3</f>
        <v>128.05219252172955</v>
      </c>
      <c r="AA8" s="63">
        <f>'Power Mix and Emissions'!$D$30+'Power Mix and Emissions'!$K$7*Emissions!AA3</f>
        <v>128.06027038602562</v>
      </c>
      <c r="AB8">
        <f>'Power Mix and Emissions'!$D$30+'Power Mix and Emissions'!$K$7*Emissions!AB3</f>
        <v>127.98917328167565</v>
      </c>
      <c r="AC8">
        <f>'Power Mix and Emissions'!$D$30+'Power Mix and Emissions'!$K$7*Emissions!AC3</f>
        <v>127.98057154981247</v>
      </c>
      <c r="AD8">
        <f>'Power Mix and Emissions'!$D$30+'Power Mix and Emissions'!$K$7*Emissions!AD3</f>
        <v>127.97271410159615</v>
      </c>
      <c r="AE8">
        <f>'Power Mix and Emissions'!$D$30+'Power Mix and Emissions'!$K$7*Emissions!AE3</f>
        <v>127.94804275766846</v>
      </c>
      <c r="AF8" s="60">
        <f>'Power Mix and Emissions'!$D$30+'Power Mix and Emissions'!$K$7*Emissions!AF3</f>
        <v>127.91768950813122</v>
      </c>
      <c r="AG8">
        <f>'Power Mix and Emissions'!$D$30+'Power Mix and Emissions'!$K$7*Emissions!AG3</f>
        <v>127.88354359331314</v>
      </c>
    </row>
    <row r="9" spans="1:38" x14ac:dyDescent="0.35">
      <c r="AA9" s="63"/>
      <c r="AF9" s="60"/>
    </row>
    <row r="10" spans="1:38" x14ac:dyDescent="0.35">
      <c r="A10" t="s">
        <v>51</v>
      </c>
      <c r="B10" t="s">
        <v>52</v>
      </c>
      <c r="AA10" s="63"/>
      <c r="AF10" s="60"/>
    </row>
    <row r="11" spans="1:38" x14ac:dyDescent="0.35">
      <c r="A11" t="s">
        <v>53</v>
      </c>
      <c r="H11">
        <f>H7*H5</f>
        <v>37220.543512058386</v>
      </c>
      <c r="I11">
        <f t="shared" ref="I11:AG11" si="2">I7*I5</f>
        <v>38623.160878567549</v>
      </c>
      <c r="J11">
        <f t="shared" si="2"/>
        <v>38097.802938699708</v>
      </c>
      <c r="K11">
        <f t="shared" si="2"/>
        <v>36794.908486690496</v>
      </c>
      <c r="L11">
        <f t="shared" si="2"/>
        <v>37587.375492056352</v>
      </c>
      <c r="M11">
        <f t="shared" si="2"/>
        <v>41920.131946374764</v>
      </c>
      <c r="N11">
        <f t="shared" si="2"/>
        <v>43925.30298471031</v>
      </c>
      <c r="O11">
        <f t="shared" si="2"/>
        <v>43136.197291919059</v>
      </c>
      <c r="P11">
        <f t="shared" si="2"/>
        <v>42271.35992475893</v>
      </c>
      <c r="Q11">
        <f t="shared" si="2"/>
        <v>41243.75222898896</v>
      </c>
      <c r="R11">
        <f t="shared" si="2"/>
        <v>39603.706520783911</v>
      </c>
      <c r="S11">
        <f t="shared" si="2"/>
        <v>37624.473402872951</v>
      </c>
      <c r="T11">
        <f t="shared" si="2"/>
        <v>36557.658975837396</v>
      </c>
      <c r="U11">
        <f t="shared" si="2"/>
        <v>35986.320861263121</v>
      </c>
      <c r="V11">
        <f t="shared" si="2"/>
        <v>36067.880499399551</v>
      </c>
      <c r="W11">
        <f t="shared" si="2"/>
        <v>35650.839197179004</v>
      </c>
      <c r="X11">
        <f t="shared" si="2"/>
        <v>35244.176327834437</v>
      </c>
      <c r="Y11">
        <f t="shared" si="2"/>
        <v>34795.132126600569</v>
      </c>
      <c r="Z11">
        <f t="shared" si="2"/>
        <v>34482.25072165396</v>
      </c>
      <c r="AA11" s="63">
        <f t="shared" si="2"/>
        <v>34538.361960495851</v>
      </c>
      <c r="AB11">
        <f t="shared" si="2"/>
        <v>34044.500407872227</v>
      </c>
      <c r="AC11">
        <f t="shared" si="2"/>
        <v>33984.750229689227</v>
      </c>
      <c r="AD11">
        <f t="shared" si="2"/>
        <v>33930.17006624589</v>
      </c>
      <c r="AE11">
        <f t="shared" si="2"/>
        <v>33758.795601296348</v>
      </c>
      <c r="AF11" s="60">
        <f t="shared" si="2"/>
        <v>33547.952936455185</v>
      </c>
      <c r="AG11">
        <f t="shared" si="2"/>
        <v>33310.765294820725</v>
      </c>
    </row>
    <row r="12" spans="1:38" x14ac:dyDescent="0.35">
      <c r="A12" t="s">
        <v>54</v>
      </c>
      <c r="H12">
        <f>H5*H8</f>
        <v>88908.804363907358</v>
      </c>
      <c r="I12">
        <f t="shared" ref="I12:AG12" si="3">I5*I8</f>
        <v>95106.772831639508</v>
      </c>
      <c r="J12">
        <f t="shared" si="3"/>
        <v>101047.67792518804</v>
      </c>
      <c r="K12">
        <f t="shared" si="3"/>
        <v>106884.9114837844</v>
      </c>
      <c r="L12">
        <f t="shared" si="3"/>
        <v>113001.52657003075</v>
      </c>
      <c r="M12">
        <f t="shared" si="3"/>
        <v>119590.18024947078</v>
      </c>
      <c r="N12">
        <f t="shared" si="3"/>
        <v>119857.53638791552</v>
      </c>
      <c r="O12">
        <f t="shared" si="3"/>
        <v>119752.32229554336</v>
      </c>
      <c r="P12">
        <f t="shared" si="3"/>
        <v>119637.01064658869</v>
      </c>
      <c r="Q12">
        <f t="shared" si="3"/>
        <v>119499.9962871527</v>
      </c>
      <c r="R12">
        <f t="shared" si="3"/>
        <v>119281.32352605868</v>
      </c>
      <c r="S12">
        <f t="shared" si="3"/>
        <v>119017.4257770039</v>
      </c>
      <c r="T12">
        <f t="shared" si="3"/>
        <v>118875.18385339914</v>
      </c>
      <c r="U12">
        <f t="shared" si="3"/>
        <v>118799.00543812258</v>
      </c>
      <c r="V12">
        <f t="shared" si="3"/>
        <v>118809.88005654077</v>
      </c>
      <c r="W12">
        <f t="shared" si="3"/>
        <v>118754.27454957804</v>
      </c>
      <c r="X12">
        <f t="shared" si="3"/>
        <v>118700.05283366542</v>
      </c>
      <c r="Y12">
        <f t="shared" si="3"/>
        <v>118640.1802735009</v>
      </c>
      <c r="Z12">
        <f t="shared" si="3"/>
        <v>118598.46275284135</v>
      </c>
      <c r="AA12" s="63">
        <f t="shared" si="3"/>
        <v>118605.94425135359</v>
      </c>
      <c r="AB12">
        <f t="shared" si="3"/>
        <v>118540.09604433712</v>
      </c>
      <c r="AC12">
        <f t="shared" si="3"/>
        <v>118532.12935391272</v>
      </c>
      <c r="AD12">
        <f t="shared" si="3"/>
        <v>118524.85199878695</v>
      </c>
      <c r="AE12">
        <f t="shared" si="3"/>
        <v>118502.002070127</v>
      </c>
      <c r="AF12" s="60">
        <f t="shared" si="3"/>
        <v>118473.88971481485</v>
      </c>
      <c r="AG12">
        <f t="shared" si="3"/>
        <v>118442.26469593025</v>
      </c>
    </row>
    <row r="13" spans="1:38" x14ac:dyDescent="0.35">
      <c r="AA13" s="63"/>
      <c r="AF13" s="60"/>
    </row>
    <row r="14" spans="1:38" x14ac:dyDescent="0.35">
      <c r="A14" t="s">
        <v>55</v>
      </c>
      <c r="H14">
        <f>H11-H12</f>
        <v>-51688.260851848972</v>
      </c>
      <c r="I14">
        <f t="shared" ref="I14:AG14" si="4">I11-I12</f>
        <v>-56483.611953071959</v>
      </c>
      <c r="J14">
        <f t="shared" si="4"/>
        <v>-62949.874986488328</v>
      </c>
      <c r="K14">
        <f t="shared" si="4"/>
        <v>-70090.002997093892</v>
      </c>
      <c r="L14">
        <f t="shared" si="4"/>
        <v>-75414.151077974399</v>
      </c>
      <c r="M14">
        <f t="shared" si="4"/>
        <v>-77670.048303096017</v>
      </c>
      <c r="N14">
        <f t="shared" si="4"/>
        <v>-75932.233403205202</v>
      </c>
      <c r="O14">
        <f t="shared" si="4"/>
        <v>-76616.1250036243</v>
      </c>
      <c r="P14">
        <f t="shared" si="4"/>
        <v>-77365.650721829763</v>
      </c>
      <c r="Q14">
        <f t="shared" si="4"/>
        <v>-78256.244058163735</v>
      </c>
      <c r="R14">
        <f t="shared" si="4"/>
        <v>-79677.617005274777</v>
      </c>
      <c r="S14">
        <f t="shared" si="4"/>
        <v>-81392.952374130953</v>
      </c>
      <c r="T14">
        <f t="shared" si="4"/>
        <v>-82317.524877561751</v>
      </c>
      <c r="U14">
        <f t="shared" si="4"/>
        <v>-82812.684576859465</v>
      </c>
      <c r="V14">
        <f t="shared" si="4"/>
        <v>-82741.999557141215</v>
      </c>
      <c r="W14">
        <f t="shared" si="4"/>
        <v>-83103.435352399043</v>
      </c>
      <c r="X14">
        <f t="shared" si="4"/>
        <v>-83455.876505830995</v>
      </c>
      <c r="Y14">
        <f t="shared" si="4"/>
        <v>-83845.048146900328</v>
      </c>
      <c r="Z14">
        <f t="shared" si="4"/>
        <v>-84116.212031187402</v>
      </c>
      <c r="AA14" s="63">
        <f t="shared" si="4"/>
        <v>-84067.582290857739</v>
      </c>
      <c r="AB14">
        <f t="shared" si="4"/>
        <v>-84495.595636464888</v>
      </c>
      <c r="AC14">
        <f t="shared" si="4"/>
        <v>-84547.379124223487</v>
      </c>
      <c r="AD14">
        <f t="shared" si="4"/>
        <v>-84594.681932541062</v>
      </c>
      <c r="AE14">
        <f t="shared" si="4"/>
        <v>-84743.206468830642</v>
      </c>
      <c r="AF14" s="60">
        <f t="shared" si="4"/>
        <v>-84925.936778359668</v>
      </c>
      <c r="AG14">
        <f t="shared" si="4"/>
        <v>-85131.499401109526</v>
      </c>
    </row>
    <row r="15" spans="1:38" x14ac:dyDescent="0.35">
      <c r="A15" t="s">
        <v>56</v>
      </c>
      <c r="H15">
        <f>H14</f>
        <v>-51688.260851848972</v>
      </c>
      <c r="AA15" s="63"/>
      <c r="AF15" s="60"/>
    </row>
    <row r="16" spans="1:38" x14ac:dyDescent="0.35">
      <c r="AA16" s="63"/>
      <c r="AF16" s="60"/>
    </row>
    <row r="17" spans="1:33" x14ac:dyDescent="0.35">
      <c r="A17" s="40" t="s">
        <v>59</v>
      </c>
      <c r="B17" t="s">
        <v>61</v>
      </c>
      <c r="AA17" s="63"/>
      <c r="AF17" s="60"/>
    </row>
    <row r="18" spans="1:33" x14ac:dyDescent="0.35">
      <c r="B18" t="s">
        <v>62</v>
      </c>
      <c r="AA18" s="63"/>
      <c r="AF18" s="60"/>
    </row>
    <row r="19" spans="1:33" x14ac:dyDescent="0.35">
      <c r="A19" t="s">
        <v>48</v>
      </c>
      <c r="B19" t="s">
        <v>50</v>
      </c>
      <c r="C19" t="s">
        <v>57</v>
      </c>
      <c r="D19" t="s">
        <v>58</v>
      </c>
      <c r="H19" s="41">
        <f>'Power Mix and Emissions'!E27</f>
        <v>85.7168712</v>
      </c>
      <c r="I19">
        <f t="shared" ref="I19:N19" si="5">H19*(1-(H3-I3)/H3)</f>
        <v>81.387885125189072</v>
      </c>
      <c r="J19">
        <f t="shared" si="5"/>
        <v>71.404707814494515</v>
      </c>
      <c r="K19">
        <f t="shared" si="5"/>
        <v>60.246716859292526</v>
      </c>
      <c r="L19">
        <f t="shared" si="5"/>
        <v>56.315632518731206</v>
      </c>
      <c r="M19">
        <f t="shared" si="5"/>
        <v>62.377673440165729</v>
      </c>
      <c r="N19">
        <f t="shared" si="5"/>
        <v>67.802845746717097</v>
      </c>
      <c r="O19">
        <f t="shared" ref="O19:AG19" si="6">N19*(1-(N3-O3)/N3)</f>
        <v>65.667848646905256</v>
      </c>
      <c r="P19">
        <f t="shared" si="6"/>
        <v>63.327952625924112</v>
      </c>
      <c r="Q19">
        <f t="shared" si="6"/>
        <v>60.547666701927326</v>
      </c>
      <c r="R19">
        <f t="shared" si="6"/>
        <v>56.110374128113712</v>
      </c>
      <c r="S19">
        <f t="shared" si="6"/>
        <v>50.75537922034114</v>
      </c>
      <c r="T19">
        <f t="shared" si="6"/>
        <v>47.86901592507482</v>
      </c>
      <c r="U19">
        <f t="shared" si="6"/>
        <v>46.323208780643604</v>
      </c>
      <c r="V19">
        <f t="shared" si="6"/>
        <v>46.543875786944184</v>
      </c>
      <c r="W19">
        <f t="shared" si="6"/>
        <v>45.415532677932831</v>
      </c>
      <c r="X19">
        <f t="shared" si="6"/>
        <v>44.315269361391913</v>
      </c>
      <c r="Y19">
        <f t="shared" si="6"/>
        <v>43.100339503351627</v>
      </c>
      <c r="Z19">
        <f t="shared" si="6"/>
        <v>42.253810453759826</v>
      </c>
      <c r="AA19" s="63">
        <f t="shared" si="6"/>
        <v>42.405624505145703</v>
      </c>
      <c r="AB19">
        <f t="shared" si="6"/>
        <v>41.069437233665759</v>
      </c>
      <c r="AC19">
        <f t="shared" si="6"/>
        <v>40.90777770148992</v>
      </c>
      <c r="AD19">
        <f t="shared" si="6"/>
        <v>40.760106113610973</v>
      </c>
      <c r="AE19">
        <f t="shared" si="6"/>
        <v>40.296436938503568</v>
      </c>
      <c r="AF19" s="60">
        <f t="shared" si="6"/>
        <v>39.725982965018467</v>
      </c>
      <c r="AG19">
        <f t="shared" si="6"/>
        <v>39.084250264789745</v>
      </c>
    </row>
    <row r="20" spans="1:33" x14ac:dyDescent="0.35">
      <c r="A20" t="s">
        <v>49</v>
      </c>
      <c r="B20" t="s">
        <v>50</v>
      </c>
      <c r="H20" s="41">
        <f>'Power Mix and Emissions'!D27</f>
        <v>136.47703208323495</v>
      </c>
      <c r="I20">
        <f>H20*(1-(H3-I3)/H3)</f>
        <v>129.58448965665312</v>
      </c>
      <c r="J20">
        <f t="shared" ref="J20:AG20" si="7">I20*(1-(I3-J3)/I3)</f>
        <v>113.68943433031866</v>
      </c>
      <c r="K20">
        <f t="shared" si="7"/>
        <v>95.923859499379816</v>
      </c>
      <c r="L20">
        <f t="shared" si="7"/>
        <v>89.664849853345402</v>
      </c>
      <c r="M20">
        <f t="shared" si="7"/>
        <v>99.316734502682706</v>
      </c>
      <c r="N20">
        <f t="shared" si="7"/>
        <v>107.95460712417298</v>
      </c>
      <c r="O20">
        <f t="shared" si="7"/>
        <v>104.55529887120639</v>
      </c>
      <c r="P20">
        <f t="shared" si="7"/>
        <v>100.82975383140007</v>
      </c>
      <c r="Q20">
        <f t="shared" si="7"/>
        <v>96.403027027938819</v>
      </c>
      <c r="R20">
        <f t="shared" si="7"/>
        <v>89.338040724996617</v>
      </c>
      <c r="S20">
        <f t="shared" si="7"/>
        <v>80.811903436009374</v>
      </c>
      <c r="T20">
        <f t="shared" si="7"/>
        <v>76.216281937730358</v>
      </c>
      <c r="U20">
        <f t="shared" si="7"/>
        <v>73.755072513126066</v>
      </c>
      <c r="V20">
        <f t="shared" si="7"/>
        <v>74.106414993048446</v>
      </c>
      <c r="W20">
        <f t="shared" si="7"/>
        <v>72.309885132198374</v>
      </c>
      <c r="X20">
        <f t="shared" si="7"/>
        <v>70.558063468045503</v>
      </c>
      <c r="Y20">
        <f t="shared" si="7"/>
        <v>68.623671569538558</v>
      </c>
      <c r="Z20">
        <f t="shared" si="7"/>
        <v>67.275841549110439</v>
      </c>
      <c r="AA20" s="63">
        <f t="shared" si="7"/>
        <v>67.517557454878073</v>
      </c>
      <c r="AB20">
        <f t="shared" si="7"/>
        <v>65.390101441073199</v>
      </c>
      <c r="AC20">
        <f t="shared" si="7"/>
        <v>65.132709718178361</v>
      </c>
      <c r="AD20">
        <f t="shared" si="7"/>
        <v>64.89758937658641</v>
      </c>
      <c r="AE20">
        <f t="shared" si="7"/>
        <v>64.159342728041679</v>
      </c>
      <c r="AF20" s="60">
        <f t="shared" si="7"/>
        <v>63.251075030546268</v>
      </c>
      <c r="AG20">
        <f t="shared" si="7"/>
        <v>62.229318483767685</v>
      </c>
    </row>
    <row r="21" spans="1:33" x14ac:dyDescent="0.35">
      <c r="AA21" s="63"/>
      <c r="AF21" s="60"/>
    </row>
    <row r="22" spans="1:33" x14ac:dyDescent="0.35">
      <c r="A22" t="s">
        <v>51</v>
      </c>
      <c r="B22" t="s">
        <v>52</v>
      </c>
      <c r="AA22" s="63"/>
      <c r="AF22" s="60"/>
    </row>
    <row r="23" spans="1:33" x14ac:dyDescent="0.35">
      <c r="A23" t="s">
        <v>53</v>
      </c>
      <c r="H23">
        <f>H19*H5</f>
        <v>58458.906158400001</v>
      </c>
      <c r="I23">
        <f t="shared" ref="I23:AG23" si="8">I19*I5</f>
        <v>59481.079857862867</v>
      </c>
      <c r="J23">
        <f t="shared" si="8"/>
        <v>55672.046833954751</v>
      </c>
      <c r="K23">
        <f t="shared" si="8"/>
        <v>49914.628053912224</v>
      </c>
      <c r="L23">
        <f t="shared" si="8"/>
        <v>49407.859698322492</v>
      </c>
      <c r="M23">
        <f t="shared" si="8"/>
        <v>57772.506931867072</v>
      </c>
      <c r="N23">
        <f t="shared" si="8"/>
        <v>62797.154171836002</v>
      </c>
      <c r="O23">
        <f t="shared" si="8"/>
        <v>60819.777845565826</v>
      </c>
      <c r="P23">
        <f t="shared" si="8"/>
        <v>58652.629703664526</v>
      </c>
      <c r="Q23">
        <f t="shared" si="8"/>
        <v>56077.604394797381</v>
      </c>
      <c r="R23">
        <f t="shared" si="8"/>
        <v>51967.904531988766</v>
      </c>
      <c r="S23">
        <f t="shared" si="8"/>
        <v>47008.253692715953</v>
      </c>
      <c r="T23">
        <f t="shared" si="8"/>
        <v>44334.982403692746</v>
      </c>
      <c r="U23">
        <f t="shared" si="8"/>
        <v>42903.297811405959</v>
      </c>
      <c r="V23">
        <f t="shared" si="8"/>
        <v>43107.673599216694</v>
      </c>
      <c r="W23">
        <f t="shared" si="8"/>
        <v>42062.632858006429</v>
      </c>
      <c r="X23">
        <f t="shared" si="8"/>
        <v>41043.59885792125</v>
      </c>
      <c r="Y23">
        <f t="shared" si="8"/>
        <v>39918.363821499246</v>
      </c>
      <c r="Z23">
        <f t="shared" si="8"/>
        <v>39134.331607914341</v>
      </c>
      <c r="AA23" s="63">
        <f t="shared" si="8"/>
        <v>39274.937658963339</v>
      </c>
      <c r="AB23">
        <f t="shared" si="8"/>
        <v>38037.397299624754</v>
      </c>
      <c r="AC23">
        <f t="shared" si="8"/>
        <v>37887.672631676214</v>
      </c>
      <c r="AD23">
        <f t="shared" si="8"/>
        <v>37750.903217815983</v>
      </c>
      <c r="AE23">
        <f t="shared" si="8"/>
        <v>37321.465421315275</v>
      </c>
      <c r="AF23" s="60">
        <f t="shared" si="8"/>
        <v>36793.126444884998</v>
      </c>
      <c r="AG23">
        <f t="shared" si="8"/>
        <v>36198.771047710201</v>
      </c>
    </row>
    <row r="24" spans="1:33" x14ac:dyDescent="0.35">
      <c r="A24" t="s">
        <v>54</v>
      </c>
      <c r="H24">
        <f>H20*H5</f>
        <v>93077.33588076623</v>
      </c>
      <c r="I24">
        <f t="shared" ref="I24:AG24" si="9">I20*I5</f>
        <v>94704.824504922086</v>
      </c>
      <c r="J24">
        <f t="shared" si="9"/>
        <v>88640.143014191111</v>
      </c>
      <c r="K24">
        <f t="shared" si="9"/>
        <v>79473.272868789878</v>
      </c>
      <c r="L24">
        <f t="shared" si="9"/>
        <v>78666.404394050347</v>
      </c>
      <c r="M24">
        <f t="shared" si="9"/>
        <v>91984.462004830319</v>
      </c>
      <c r="N24">
        <f t="shared" si="9"/>
        <v>99984.625017968589</v>
      </c>
      <c r="O24">
        <f t="shared" si="9"/>
        <v>96836.278040961755</v>
      </c>
      <c r="P24">
        <f t="shared" si="9"/>
        <v>93385.779412736199</v>
      </c>
      <c r="Q24">
        <f t="shared" si="9"/>
        <v>89285.865279456411</v>
      </c>
      <c r="R24">
        <f t="shared" si="9"/>
        <v>82742.466854188213</v>
      </c>
      <c r="S24">
        <f t="shared" si="9"/>
        <v>74845.790071227442</v>
      </c>
      <c r="T24">
        <f t="shared" si="9"/>
        <v>70589.450258870755</v>
      </c>
      <c r="U24">
        <f t="shared" si="9"/>
        <v>68309.94493746564</v>
      </c>
      <c r="V24">
        <f t="shared" si="9"/>
        <v>68635.348799734493</v>
      </c>
      <c r="W24">
        <f t="shared" si="9"/>
        <v>66971.451637253354</v>
      </c>
      <c r="X24">
        <f t="shared" si="9"/>
        <v>65348.96199225646</v>
      </c>
      <c r="Y24">
        <f t="shared" si="9"/>
        <v>63557.380754898542</v>
      </c>
      <c r="Z24">
        <f t="shared" si="9"/>
        <v>62309.05719770697</v>
      </c>
      <c r="AA24" s="63">
        <f t="shared" si="9"/>
        <v>62532.927904505588</v>
      </c>
      <c r="AB24">
        <f t="shared" si="9"/>
        <v>60562.535927275443</v>
      </c>
      <c r="AC24">
        <f t="shared" si="9"/>
        <v>60324.146704416547</v>
      </c>
      <c r="AD24">
        <f t="shared" si="9"/>
        <v>60106.384630018663</v>
      </c>
      <c r="AE24">
        <f t="shared" si="9"/>
        <v>59422.640635280077</v>
      </c>
      <c r="AF24" s="60">
        <f t="shared" si="9"/>
        <v>58581.427762859021</v>
      </c>
      <c r="AG24">
        <f t="shared" si="9"/>
        <v>57635.104600645078</v>
      </c>
    </row>
    <row r="25" spans="1:33" x14ac:dyDescent="0.35">
      <c r="AA25" s="63"/>
      <c r="AF25" s="60"/>
    </row>
    <row r="26" spans="1:33" x14ac:dyDescent="0.35">
      <c r="A26" t="s">
        <v>55</v>
      </c>
      <c r="H26">
        <f>H23-H24</f>
        <v>-34618.429722366229</v>
      </c>
      <c r="I26">
        <f t="shared" ref="I26:AG26" si="10">I23-I24</f>
        <v>-35223.744647059219</v>
      </c>
      <c r="J26">
        <f t="shared" si="10"/>
        <v>-32968.09618023636</v>
      </c>
      <c r="K26">
        <f t="shared" si="10"/>
        <v>-29558.644814877654</v>
      </c>
      <c r="L26">
        <f t="shared" si="10"/>
        <v>-29258.544695727855</v>
      </c>
      <c r="M26">
        <f t="shared" si="10"/>
        <v>-34211.955072963246</v>
      </c>
      <c r="N26">
        <f t="shared" si="10"/>
        <v>-37187.470846132586</v>
      </c>
      <c r="O26">
        <f t="shared" si="10"/>
        <v>-36016.500195395929</v>
      </c>
      <c r="P26">
        <f t="shared" si="10"/>
        <v>-34733.149709071673</v>
      </c>
      <c r="Q26">
        <f t="shared" si="10"/>
        <v>-33208.26088465903</v>
      </c>
      <c r="R26">
        <f t="shared" si="10"/>
        <v>-30774.562322199446</v>
      </c>
      <c r="S26">
        <f t="shared" si="10"/>
        <v>-27837.53637851149</v>
      </c>
      <c r="T26">
        <f t="shared" si="10"/>
        <v>-26254.467855178009</v>
      </c>
      <c r="U26">
        <f t="shared" si="10"/>
        <v>-25406.647126059681</v>
      </c>
      <c r="V26">
        <f t="shared" si="10"/>
        <v>-25527.675200517799</v>
      </c>
      <c r="W26">
        <f t="shared" si="10"/>
        <v>-24908.818779246925</v>
      </c>
      <c r="X26">
        <f t="shared" si="10"/>
        <v>-24305.36313433521</v>
      </c>
      <c r="Y26">
        <f t="shared" si="10"/>
        <v>-23639.016933399296</v>
      </c>
      <c r="Z26">
        <f t="shared" si="10"/>
        <v>-23174.72558979263</v>
      </c>
      <c r="AA26" s="63">
        <f t="shared" si="10"/>
        <v>-23257.990245542249</v>
      </c>
      <c r="AB26">
        <f t="shared" si="10"/>
        <v>-22525.138627650689</v>
      </c>
      <c r="AC26">
        <f t="shared" si="10"/>
        <v>-22436.474072740333</v>
      </c>
      <c r="AD26">
        <f t="shared" si="10"/>
        <v>-22355.48141220268</v>
      </c>
      <c r="AE26">
        <f t="shared" si="10"/>
        <v>-22101.175213964802</v>
      </c>
      <c r="AF26" s="60">
        <f t="shared" si="10"/>
        <v>-21788.301317974023</v>
      </c>
      <c r="AG26">
        <f t="shared" si="10"/>
        <v>-21436.333552934877</v>
      </c>
    </row>
    <row r="27" spans="1:33" x14ac:dyDescent="0.35">
      <c r="A27" t="s">
        <v>56</v>
      </c>
      <c r="H27">
        <f>H26</f>
        <v>-34618.429722366229</v>
      </c>
      <c r="I27">
        <f>H27+I26</f>
        <v>-69842.174369425455</v>
      </c>
      <c r="J27">
        <f t="shared" ref="J27:AG27" si="11">I27+J26</f>
        <v>-102810.27054966181</v>
      </c>
      <c r="K27">
        <f t="shared" si="11"/>
        <v>-132368.91536453948</v>
      </c>
      <c r="L27">
        <f t="shared" si="11"/>
        <v>-161627.46006026733</v>
      </c>
      <c r="M27">
        <f t="shared" si="11"/>
        <v>-195839.41513323056</v>
      </c>
      <c r="N27">
        <f t="shared" si="11"/>
        <v>-233026.88597936314</v>
      </c>
      <c r="O27">
        <f t="shared" si="11"/>
        <v>-269043.38617475907</v>
      </c>
      <c r="P27">
        <f t="shared" si="11"/>
        <v>-303776.53588383074</v>
      </c>
      <c r="Q27">
        <f t="shared" si="11"/>
        <v>-336984.79676848976</v>
      </c>
      <c r="R27">
        <f t="shared" si="11"/>
        <v>-367759.35909068922</v>
      </c>
      <c r="S27">
        <f t="shared" si="11"/>
        <v>-395596.89546920068</v>
      </c>
      <c r="T27">
        <f t="shared" si="11"/>
        <v>-421851.36332437868</v>
      </c>
      <c r="U27">
        <f t="shared" si="11"/>
        <v>-447258.01045043836</v>
      </c>
      <c r="V27">
        <f t="shared" si="11"/>
        <v>-472785.68565095618</v>
      </c>
      <c r="W27">
        <f t="shared" si="11"/>
        <v>-497694.50443020312</v>
      </c>
      <c r="X27">
        <f t="shared" si="11"/>
        <v>-521999.86756453832</v>
      </c>
      <c r="Y27">
        <f t="shared" si="11"/>
        <v>-545638.88449793763</v>
      </c>
      <c r="Z27">
        <f t="shared" si="11"/>
        <v>-568813.61008773022</v>
      </c>
      <c r="AA27" s="63">
        <f t="shared" si="11"/>
        <v>-592071.60033327248</v>
      </c>
      <c r="AB27">
        <f t="shared" si="11"/>
        <v>-614596.73896092316</v>
      </c>
      <c r="AC27">
        <f t="shared" si="11"/>
        <v>-637033.21303366346</v>
      </c>
      <c r="AD27">
        <f t="shared" si="11"/>
        <v>-659388.69444586616</v>
      </c>
      <c r="AE27">
        <f t="shared" si="11"/>
        <v>-681489.86965983093</v>
      </c>
      <c r="AF27" s="64">
        <f>AE27+AF26</f>
        <v>-703278.17097780493</v>
      </c>
      <c r="AG27" s="50">
        <f t="shared" si="11"/>
        <v>-724714.50453073985</v>
      </c>
    </row>
    <row r="28" spans="1:33" x14ac:dyDescent="0.35">
      <c r="AA28" s="63"/>
      <c r="AE28" t="s">
        <v>66</v>
      </c>
      <c r="AF28" s="61">
        <v>-636893.5787336519</v>
      </c>
    </row>
    <row r="29" spans="1:33" x14ac:dyDescent="0.35">
      <c r="AA29" s="63"/>
    </row>
    <row r="30" spans="1:33" x14ac:dyDescent="0.35">
      <c r="B30" s="53" t="s">
        <v>64</v>
      </c>
      <c r="C30" s="30" t="s">
        <v>65</v>
      </c>
      <c r="AA30" s="63"/>
    </row>
    <row r="31" spans="1:33" x14ac:dyDescent="0.35">
      <c r="B31" s="31">
        <v>162000</v>
      </c>
      <c r="C31" s="54">
        <v>682</v>
      </c>
      <c r="AA31" s="63"/>
    </row>
    <row r="32" spans="1:33" x14ac:dyDescent="0.35">
      <c r="B32" s="55">
        <v>220000</v>
      </c>
      <c r="C32" s="56">
        <f>B32*C31/B31</f>
        <v>926.17283950617286</v>
      </c>
      <c r="H32">
        <v>-34618.429722366229</v>
      </c>
      <c r="I32">
        <v>-35223.744647059219</v>
      </c>
      <c r="J32">
        <v>-32968.09618023636</v>
      </c>
      <c r="K32">
        <v>-29558.644814877654</v>
      </c>
      <c r="L32">
        <v>-29258.544695727855</v>
      </c>
      <c r="M32">
        <v>-34211.955072963246</v>
      </c>
      <c r="N32">
        <v>-37187.470846132586</v>
      </c>
      <c r="O32">
        <v>-36016.500195395929</v>
      </c>
      <c r="P32">
        <v>-34733.149709071673</v>
      </c>
      <c r="Q32">
        <v>-33208.26088465903</v>
      </c>
      <c r="R32">
        <v>-30774.562322199446</v>
      </c>
      <c r="S32">
        <v>-27837.53637851149</v>
      </c>
      <c r="T32">
        <v>-26254.467855178009</v>
      </c>
      <c r="U32">
        <v>-25406.647126059681</v>
      </c>
      <c r="V32">
        <v>-25527.675200517799</v>
      </c>
      <c r="W32">
        <v>-24908.818779246925</v>
      </c>
      <c r="X32">
        <v>-24305.36313433521</v>
      </c>
      <c r="Y32">
        <v>-23639.016933399296</v>
      </c>
      <c r="Z32">
        <v>-23174.72558979263</v>
      </c>
      <c r="AA32" s="63">
        <v>-23257.990245542249</v>
      </c>
      <c r="AB32">
        <v>-22525.138627650689</v>
      </c>
      <c r="AC32">
        <v>-22436.474072740333</v>
      </c>
      <c r="AD32">
        <v>-22355.48141220268</v>
      </c>
      <c r="AE32">
        <v>-22101.175213964802</v>
      </c>
      <c r="AF32">
        <v>-21788.301317974023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LCI</vt:lpstr>
      <vt:lpstr>Power Mix and Emissions</vt:lpstr>
      <vt:lpstr>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 A. Butt</cp:lastModifiedBy>
  <dcterms:created xsi:type="dcterms:W3CDTF">2019-10-11T00:15:42Z</dcterms:created>
  <dcterms:modified xsi:type="dcterms:W3CDTF">2020-04-07T20:41:37Z</dcterms:modified>
</cp:coreProperties>
</file>