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3580" yWindow="20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8" i="1" l="1"/>
  <c r="E89" i="1"/>
  <c r="B88" i="1"/>
  <c r="B89" i="1"/>
  <c r="E87" i="1"/>
  <c r="B87" i="1"/>
  <c r="H61" i="1"/>
  <c r="C67" i="1"/>
  <c r="B67" i="1"/>
  <c r="B68" i="1"/>
  <c r="J61" i="1"/>
  <c r="H62" i="1"/>
  <c r="J62" i="1"/>
  <c r="H63" i="1"/>
  <c r="J63" i="1"/>
  <c r="H64" i="1"/>
  <c r="J64" i="1"/>
  <c r="H65" i="1"/>
  <c r="J65" i="1"/>
  <c r="H66" i="1"/>
  <c r="J66" i="1"/>
  <c r="J68" i="1"/>
  <c r="K61" i="1"/>
  <c r="K62" i="1"/>
  <c r="K63" i="1"/>
  <c r="K64" i="1"/>
  <c r="K65" i="1"/>
  <c r="K66" i="1"/>
  <c r="K67" i="1"/>
  <c r="L67" i="1"/>
  <c r="J67" i="1"/>
  <c r="H48" i="1"/>
  <c r="C54" i="1"/>
  <c r="B54" i="1"/>
  <c r="B55" i="1"/>
  <c r="J48" i="1"/>
  <c r="H49" i="1"/>
  <c r="J49" i="1"/>
  <c r="H50" i="1"/>
  <c r="J50" i="1"/>
  <c r="H51" i="1"/>
  <c r="J51" i="1"/>
  <c r="H52" i="1"/>
  <c r="J52" i="1"/>
  <c r="H53" i="1"/>
  <c r="J53" i="1"/>
  <c r="J55" i="1"/>
  <c r="K48" i="1"/>
  <c r="K49" i="1"/>
  <c r="K50" i="1"/>
  <c r="K51" i="1"/>
  <c r="K52" i="1"/>
  <c r="K53" i="1"/>
  <c r="K54" i="1"/>
  <c r="L54" i="1"/>
  <c r="J54" i="1"/>
  <c r="D48" i="1"/>
  <c r="D49" i="1"/>
  <c r="D50" i="1"/>
  <c r="D51" i="1"/>
  <c r="D52" i="1"/>
  <c r="D53" i="1"/>
  <c r="D54" i="1"/>
  <c r="H34" i="1"/>
  <c r="C40" i="1"/>
  <c r="B40" i="1"/>
  <c r="B41" i="1"/>
  <c r="J34" i="1"/>
  <c r="K34" i="1"/>
  <c r="H35" i="1"/>
  <c r="J35" i="1"/>
  <c r="K35" i="1"/>
  <c r="H36" i="1"/>
  <c r="J36" i="1"/>
  <c r="K36" i="1"/>
  <c r="H37" i="1"/>
  <c r="J37" i="1"/>
  <c r="K37" i="1"/>
  <c r="H38" i="1"/>
  <c r="J38" i="1"/>
  <c r="K38" i="1"/>
  <c r="H39" i="1"/>
  <c r="J39" i="1"/>
  <c r="K39" i="1"/>
  <c r="K41" i="1"/>
  <c r="K42" i="1"/>
  <c r="J41" i="1"/>
  <c r="J42" i="1"/>
  <c r="K40" i="1"/>
  <c r="L40" i="1"/>
  <c r="J40" i="1"/>
  <c r="H22" i="1"/>
  <c r="C28" i="1"/>
  <c r="B28" i="1"/>
  <c r="B29" i="1"/>
  <c r="J22" i="1"/>
  <c r="K22" i="1"/>
  <c r="H23" i="1"/>
  <c r="J23" i="1"/>
  <c r="K23" i="1"/>
  <c r="H24" i="1"/>
  <c r="J24" i="1"/>
  <c r="K24" i="1"/>
  <c r="H25" i="1"/>
  <c r="J25" i="1"/>
  <c r="K25" i="1"/>
  <c r="H26" i="1"/>
  <c r="J26" i="1"/>
  <c r="K26" i="1"/>
  <c r="H27" i="1"/>
  <c r="J27" i="1"/>
  <c r="K27" i="1"/>
  <c r="K29" i="1"/>
  <c r="K30" i="1"/>
  <c r="J29" i="1"/>
  <c r="J30" i="1"/>
  <c r="K28" i="1"/>
  <c r="L28" i="1"/>
  <c r="J28" i="1"/>
  <c r="G13" i="1"/>
  <c r="G14" i="1"/>
  <c r="F13" i="1"/>
  <c r="F14" i="1"/>
  <c r="C13" i="1"/>
  <c r="C14" i="1"/>
  <c r="B13" i="1"/>
  <c r="B14" i="1"/>
  <c r="G12" i="1"/>
  <c r="F12" i="1"/>
  <c r="C12" i="1"/>
  <c r="B12" i="1"/>
</calcChain>
</file>

<file path=xl/sharedStrings.xml><?xml version="1.0" encoding="utf-8"?>
<sst xmlns="http://schemas.openxmlformats.org/spreadsheetml/2006/main" count="171" uniqueCount="45">
  <si>
    <t>OD 600 monocultures at 24 hours</t>
  </si>
  <si>
    <t>500 ul M9 and 500 uL culture</t>
  </si>
  <si>
    <t>900 uL M9 and 100 uL culture</t>
  </si>
  <si>
    <t>BSA media</t>
  </si>
  <si>
    <t>PAO1</t>
  </si>
  <si>
    <t>LasR</t>
  </si>
  <si>
    <t>CAA media</t>
  </si>
  <si>
    <t>replicate 1</t>
  </si>
  <si>
    <t>replicate 2</t>
  </si>
  <si>
    <t>replicate 3</t>
  </si>
  <si>
    <t>replicate 4</t>
  </si>
  <si>
    <t>replicate 5</t>
  </si>
  <si>
    <t>replicate 6</t>
  </si>
  <si>
    <t>avg</t>
  </si>
  <si>
    <t>stdev</t>
  </si>
  <si>
    <t>95%CI</t>
  </si>
  <si>
    <t>Mix competition</t>
  </si>
  <si>
    <t>strain</t>
  </si>
  <si>
    <t>Proportion 1</t>
  </si>
  <si>
    <t xml:space="preserve"> LasR</t>
  </si>
  <si>
    <t>Proportion 2</t>
  </si>
  <si>
    <t>Fitness</t>
  </si>
  <si>
    <t>Log W</t>
  </si>
  <si>
    <t>W1</t>
  </si>
  <si>
    <t>W2</t>
  </si>
  <si>
    <t>W3</t>
  </si>
  <si>
    <t>W4</t>
  </si>
  <si>
    <t>W5</t>
  </si>
  <si>
    <t>W6</t>
  </si>
  <si>
    <t>sum</t>
  </si>
  <si>
    <t>Sum</t>
  </si>
  <si>
    <t xml:space="preserve">Wavg </t>
  </si>
  <si>
    <t>P1</t>
  </si>
  <si>
    <t>P2</t>
  </si>
  <si>
    <t>STDV</t>
  </si>
  <si>
    <t>CI</t>
  </si>
  <si>
    <t>extra replicates</t>
  </si>
  <si>
    <t>results of 12 replicates</t>
  </si>
  <si>
    <t>replicate 7</t>
  </si>
  <si>
    <t>replicate 8</t>
  </si>
  <si>
    <t>replicate 9</t>
  </si>
  <si>
    <t>replicate 10</t>
  </si>
  <si>
    <t>replicate 11</t>
  </si>
  <si>
    <t>replicate 12</t>
  </si>
  <si>
    <t>95%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</si>
</sst>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206"/>
      <name val="Calibri"/>
      <family val="2"/>
    </font>
    <font>
      <sz val="12"/>
      <color indexed="20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00"/>
        <bgColor rgb="FF000000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">
    <xf numFmtId="0" fontId="0" fillId="0" borderId="0" xfId="0"/>
    <xf numFmtId="0" fontId="4" fillId="2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4" borderId="0" xfId="0" applyFont="1" applyFill="1"/>
    <xf numFmtId="0" fontId="3" fillId="0" borderId="0" xfId="0" applyFont="1"/>
    <xf numFmtId="0" fontId="3" fillId="5" borderId="0" xfId="0" applyFont="1" applyFill="1"/>
    <xf numFmtId="0" fontId="1" fillId="2" borderId="0" xfId="1"/>
    <xf numFmtId="0" fontId="5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2" fillId="3" borderId="1" xfId="2"/>
    <xf numFmtId="0" fontId="3" fillId="0" borderId="0" xfId="0" applyFont="1" applyFill="1" applyBorder="1" applyAlignment="1">
      <alignment horizontal="center"/>
    </xf>
    <xf numFmtId="0" fontId="8" fillId="0" borderId="0" xfId="0" applyFont="1"/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9"/>
  <sheetViews>
    <sheetView tabSelected="1" workbookViewId="0">
      <selection activeCell="B41" sqref="B41"/>
    </sheetView>
  </sheetViews>
  <sheetFormatPr baseColWidth="10" defaultRowHeight="15" x14ac:dyDescent="0"/>
  <sheetData>
    <row r="3" spans="1:7">
      <c r="A3" s="1" t="s">
        <v>0</v>
      </c>
      <c r="B3" s="1"/>
      <c r="C3" s="1"/>
      <c r="D3" s="1"/>
      <c r="E3" s="1"/>
    </row>
    <row r="4" spans="1:7">
      <c r="A4" s="2" t="s">
        <v>1</v>
      </c>
      <c r="B4" s="2"/>
      <c r="C4" s="2"/>
      <c r="E4" s="2" t="s">
        <v>2</v>
      </c>
      <c r="F4" s="2"/>
      <c r="G4" s="2"/>
    </row>
    <row r="5" spans="1:7">
      <c r="A5" s="3" t="s">
        <v>3</v>
      </c>
      <c r="B5" s="4" t="s">
        <v>4</v>
      </c>
      <c r="C5" s="4" t="s">
        <v>5</v>
      </c>
      <c r="E5" s="5" t="s">
        <v>6</v>
      </c>
      <c r="F5" s="4" t="s">
        <v>4</v>
      </c>
      <c r="G5" s="4" t="s">
        <v>5</v>
      </c>
    </row>
    <row r="6" spans="1:7">
      <c r="A6" t="s">
        <v>7</v>
      </c>
      <c r="B6">
        <v>0.56000000000000005</v>
      </c>
      <c r="C6">
        <v>0.185</v>
      </c>
      <c r="E6" t="s">
        <v>7</v>
      </c>
      <c r="F6">
        <v>0.33500000000000002</v>
      </c>
      <c r="G6">
        <v>0.40699999999999997</v>
      </c>
    </row>
    <row r="7" spans="1:7">
      <c r="A7" t="s">
        <v>8</v>
      </c>
      <c r="B7">
        <v>0.51300000000000001</v>
      </c>
      <c r="C7">
        <v>0.18</v>
      </c>
      <c r="E7" t="s">
        <v>8</v>
      </c>
      <c r="F7">
        <v>0.34699999999999998</v>
      </c>
      <c r="G7">
        <v>0.38400000000000001</v>
      </c>
    </row>
    <row r="8" spans="1:7">
      <c r="A8" t="s">
        <v>9</v>
      </c>
      <c r="B8">
        <v>0.42299999999999999</v>
      </c>
      <c r="C8">
        <v>0.215</v>
      </c>
      <c r="E8" t="s">
        <v>9</v>
      </c>
      <c r="F8">
        <v>0.33600000000000002</v>
      </c>
      <c r="G8">
        <v>0.38700000000000001</v>
      </c>
    </row>
    <row r="9" spans="1:7">
      <c r="A9" t="s">
        <v>10</v>
      </c>
      <c r="B9">
        <v>0.41699999999999998</v>
      </c>
      <c r="C9">
        <v>0.182</v>
      </c>
      <c r="E9" t="s">
        <v>10</v>
      </c>
      <c r="F9">
        <v>0.33300000000000002</v>
      </c>
      <c r="G9">
        <v>0.38700000000000001</v>
      </c>
    </row>
    <row r="10" spans="1:7">
      <c r="A10" t="s">
        <v>11</v>
      </c>
      <c r="B10">
        <v>0.41299999999999998</v>
      </c>
      <c r="C10">
        <v>0.182</v>
      </c>
      <c r="E10" t="s">
        <v>11</v>
      </c>
      <c r="F10">
        <v>0.33200000000000002</v>
      </c>
      <c r="G10">
        <v>0.39</v>
      </c>
    </row>
    <row r="11" spans="1:7">
      <c r="A11" t="s">
        <v>12</v>
      </c>
      <c r="B11">
        <v>0.39900000000000002</v>
      </c>
      <c r="C11">
        <v>0.19</v>
      </c>
      <c r="E11" t="s">
        <v>12</v>
      </c>
      <c r="F11">
        <v>0.34300000000000003</v>
      </c>
      <c r="G11">
        <v>0.38100000000000001</v>
      </c>
    </row>
    <row r="12" spans="1:7">
      <c r="A12" s="4" t="s">
        <v>13</v>
      </c>
      <c r="B12" s="6">
        <f>AVERAGE(B6:B11)</f>
        <v>0.45416666666666666</v>
      </c>
      <c r="C12" s="6">
        <f>AVERAGE(C6:C11)</f>
        <v>0.18899999999999997</v>
      </c>
      <c r="E12" s="4" t="s">
        <v>13</v>
      </c>
      <c r="F12" s="6">
        <f>AVERAGE(F6:F11)</f>
        <v>0.33766666666666673</v>
      </c>
      <c r="G12" s="6">
        <f>AVERAGE(G6:G11)</f>
        <v>0.38933333333333336</v>
      </c>
    </row>
    <row r="13" spans="1:7">
      <c r="A13" t="s">
        <v>14</v>
      </c>
      <c r="B13">
        <f>STDEV(B6:B11)</f>
        <v>6.5958825540383056E-2</v>
      </c>
      <c r="C13">
        <f>STDEV(C6:C11)</f>
        <v>1.3206059215375343E-2</v>
      </c>
      <c r="F13">
        <f>STDEV(F6:F11)</f>
        <v>5.9888785817268433E-3</v>
      </c>
      <c r="G13">
        <f>STDEV(G6:G11)</f>
        <v>9.1796877216311894E-3</v>
      </c>
    </row>
    <row r="14" spans="1:7">
      <c r="A14" t="s">
        <v>15</v>
      </c>
      <c r="B14">
        <f>CONFIDENCE(0.05,B13,6)</f>
        <v>5.2777082615917965E-2</v>
      </c>
      <c r="C14">
        <f>CONFIDENCE(0.05,C13,6)</f>
        <v>1.0566853980955852E-2</v>
      </c>
      <c r="F14">
        <f>CONFIDENCE(0.05,F13,6)</f>
        <v>4.7920128518811047E-3</v>
      </c>
      <c r="G14">
        <f>CONFIDENCE(0.05,G13,6)</f>
        <v>7.3451449946791069E-3</v>
      </c>
    </row>
    <row r="20" spans="1:12">
      <c r="A20" s="7" t="s">
        <v>3</v>
      </c>
      <c r="B20" s="8" t="s">
        <v>16</v>
      </c>
      <c r="C20" s="8"/>
      <c r="D20" s="9"/>
      <c r="E20" s="9"/>
      <c r="F20" s="9"/>
      <c r="G20" s="9"/>
    </row>
    <row r="21" spans="1:12">
      <c r="A21" s="9" t="s">
        <v>17</v>
      </c>
      <c r="B21" s="10" t="s">
        <v>4</v>
      </c>
      <c r="C21" s="10" t="s">
        <v>5</v>
      </c>
      <c r="D21" s="10" t="s">
        <v>18</v>
      </c>
      <c r="E21" s="9"/>
      <c r="F21" s="10" t="s">
        <v>4</v>
      </c>
      <c r="G21" s="10" t="s">
        <v>19</v>
      </c>
      <c r="H21" s="10" t="s">
        <v>20</v>
      </c>
      <c r="I21" s="11" t="s">
        <v>21</v>
      </c>
      <c r="J21" s="9"/>
      <c r="K21" s="10" t="s">
        <v>22</v>
      </c>
    </row>
    <row r="22" spans="1:12">
      <c r="A22" t="s">
        <v>7</v>
      </c>
      <c r="B22">
        <v>160</v>
      </c>
      <c r="C22">
        <v>14</v>
      </c>
      <c r="F22">
        <v>268</v>
      </c>
      <c r="G22">
        <v>32</v>
      </c>
      <c r="H22" s="9">
        <f>32/300</f>
        <v>0.10666666666666667</v>
      </c>
      <c r="I22" s="12" t="s">
        <v>23</v>
      </c>
      <c r="J22" s="9">
        <f>((H22*(1-B29))/((B29*(1-H22))))</f>
        <v>1.6406854615809838</v>
      </c>
      <c r="K22" s="9">
        <f t="shared" ref="K22:K27" si="0">LOG10(J22)</f>
        <v>0.21502532974717567</v>
      </c>
    </row>
    <row r="23" spans="1:12">
      <c r="A23" t="s">
        <v>8</v>
      </c>
      <c r="B23">
        <v>214</v>
      </c>
      <c r="C23">
        <v>17</v>
      </c>
      <c r="F23">
        <v>175</v>
      </c>
      <c r="G23">
        <v>22</v>
      </c>
      <c r="H23" s="9">
        <f>22/197</f>
        <v>0.1116751269035533</v>
      </c>
      <c r="I23" s="12" t="s">
        <v>24</v>
      </c>
      <c r="J23" s="9">
        <f>((H23*(1-B29))/((B29*(1-H23))))</f>
        <v>1.7274074074074073</v>
      </c>
      <c r="K23" s="9">
        <f t="shared" si="0"/>
        <v>0.23739477759197034</v>
      </c>
    </row>
    <row r="24" spans="1:12">
      <c r="A24" t="s">
        <v>9</v>
      </c>
      <c r="B24">
        <v>210</v>
      </c>
      <c r="C24">
        <v>14</v>
      </c>
      <c r="F24">
        <v>78</v>
      </c>
      <c r="G24">
        <v>18</v>
      </c>
      <c r="H24" s="9">
        <f>18/96</f>
        <v>0.1875</v>
      </c>
      <c r="I24" s="12" t="s">
        <v>25</v>
      </c>
      <c r="J24" s="9">
        <f>((H24*(1-B29))/((B29*(1-H24))))</f>
        <v>3.1709401709401712</v>
      </c>
      <c r="K24" s="9">
        <f t="shared" si="0"/>
        <v>0.50118804786888427</v>
      </c>
    </row>
    <row r="25" spans="1:12">
      <c r="A25" t="s">
        <v>10</v>
      </c>
      <c r="B25">
        <v>150</v>
      </c>
      <c r="C25">
        <v>8</v>
      </c>
      <c r="F25">
        <v>112</v>
      </c>
      <c r="G25">
        <v>20</v>
      </c>
      <c r="H25" s="9">
        <f>20/132</f>
        <v>0.15151515151515152</v>
      </c>
      <c r="I25" s="12" t="s">
        <v>26</v>
      </c>
      <c r="J25" s="9">
        <f>((H25*(1-B29))/((B29*(1-H25))))</f>
        <v>2.4537037037037037</v>
      </c>
      <c r="K25" s="9">
        <f t="shared" si="0"/>
        <v>0.38982211844985815</v>
      </c>
    </row>
    <row r="26" spans="1:12">
      <c r="A26" t="s">
        <v>11</v>
      </c>
      <c r="B26">
        <v>189</v>
      </c>
      <c r="C26">
        <v>15</v>
      </c>
      <c r="F26">
        <v>246</v>
      </c>
      <c r="G26">
        <v>22</v>
      </c>
      <c r="H26" s="9">
        <f>22/268</f>
        <v>8.2089552238805971E-2</v>
      </c>
      <c r="I26" s="12" t="s">
        <v>27</v>
      </c>
      <c r="J26" s="9">
        <f>((H26*(1-B29))/((B29*(1-H26))))</f>
        <v>1.2288467329117734</v>
      </c>
      <c r="K26" s="9">
        <f t="shared" si="0"/>
        <v>8.9497719174885609E-2</v>
      </c>
    </row>
    <row r="27" spans="1:12">
      <c r="A27" t="s">
        <v>12</v>
      </c>
      <c r="B27">
        <v>190</v>
      </c>
      <c r="C27">
        <v>13</v>
      </c>
      <c r="F27">
        <v>63</v>
      </c>
      <c r="G27">
        <v>3</v>
      </c>
      <c r="H27" s="9">
        <f>3/66</f>
        <v>4.5454545454545456E-2</v>
      </c>
      <c r="I27" s="12" t="s">
        <v>28</v>
      </c>
      <c r="J27" s="9">
        <f>((H27*(1-B29))/((B29*(1-H27))))</f>
        <v>0.65432098765432101</v>
      </c>
      <c r="K27" s="9">
        <f t="shared" si="0"/>
        <v>-0.1842091492778607</v>
      </c>
    </row>
    <row r="28" spans="1:12">
      <c r="A28" s="4" t="s">
        <v>29</v>
      </c>
      <c r="B28" s="13">
        <f>SUM(B22:B27)</f>
        <v>1113</v>
      </c>
      <c r="C28" s="4">
        <f>SUM(C22:C27)</f>
        <v>81</v>
      </c>
      <c r="E28" s="4" t="s">
        <v>30</v>
      </c>
      <c r="H28" s="9"/>
      <c r="I28" s="12" t="s">
        <v>31</v>
      </c>
      <c r="J28" s="14">
        <f>AVERAGE(J22:J27)</f>
        <v>1.8126507440330599</v>
      </c>
      <c r="K28" s="10">
        <f>AVERAGE(K22:K27)</f>
        <v>0.20811980725915222</v>
      </c>
      <c r="L28" s="6">
        <f>10^K28</f>
        <v>1.614803965558155</v>
      </c>
    </row>
    <row r="29" spans="1:12">
      <c r="A29" s="4" t="s">
        <v>32</v>
      </c>
      <c r="B29" s="4">
        <f>C28/(C28+B28)</f>
        <v>6.78391959798995E-2</v>
      </c>
      <c r="C29" s="4"/>
      <c r="E29" s="4" t="s">
        <v>33</v>
      </c>
      <c r="H29" s="9"/>
      <c r="I29" s="15" t="s">
        <v>34</v>
      </c>
      <c r="J29" s="9">
        <f>STDEV(J22:J27)</f>
        <v>0.89166052924549333</v>
      </c>
      <c r="K29" s="9">
        <f>STDEV(K22:K27)</f>
        <v>0.2399177540716155</v>
      </c>
    </row>
    <row r="30" spans="1:12">
      <c r="H30" s="9"/>
      <c r="I30" s="9" t="s">
        <v>35</v>
      </c>
      <c r="J30" s="16">
        <f>_xlfn.CONFIDENCE.NORM(0.05,J29,6)</f>
        <v>0.71346390769997392</v>
      </c>
      <c r="K30" s="9">
        <f>_xlfn.CONFIDENCE.NORM(0.05,K29,6)</f>
        <v>0.19197065781456008</v>
      </c>
    </row>
    <row r="31" spans="1:12">
      <c r="H31" s="9"/>
      <c r="I31" s="9"/>
      <c r="J31" s="9"/>
      <c r="K31" s="9"/>
    </row>
    <row r="32" spans="1:12">
      <c r="A32" s="5" t="s">
        <v>6</v>
      </c>
    </row>
    <row r="33" spans="1:12">
      <c r="A33" t="s">
        <v>17</v>
      </c>
      <c r="B33" s="4" t="s">
        <v>4</v>
      </c>
      <c r="C33" s="4" t="s">
        <v>5</v>
      </c>
      <c r="D33" s="4" t="s">
        <v>18</v>
      </c>
      <c r="F33" s="4" t="s">
        <v>4</v>
      </c>
      <c r="G33" s="4" t="s">
        <v>5</v>
      </c>
      <c r="H33" s="10" t="s">
        <v>20</v>
      </c>
      <c r="I33" s="11" t="s">
        <v>21</v>
      </c>
      <c r="J33" s="9"/>
      <c r="K33" s="10" t="s">
        <v>22</v>
      </c>
    </row>
    <row r="34" spans="1:12">
      <c r="A34" t="s">
        <v>7</v>
      </c>
      <c r="B34">
        <v>131</v>
      </c>
      <c r="C34">
        <v>9</v>
      </c>
      <c r="F34">
        <v>49</v>
      </c>
      <c r="G34">
        <v>8</v>
      </c>
      <c r="H34">
        <f>9/58</f>
        <v>0.15517241379310345</v>
      </c>
      <c r="I34" s="12" t="s">
        <v>23</v>
      </c>
      <c r="J34">
        <f>((H34*(1-B41))/((B41*(1-H34))))</f>
        <v>3.2157912345265971</v>
      </c>
      <c r="K34">
        <f t="shared" ref="K34:K39" si="1">LOG10(J34)</f>
        <v>0.50728784709258179</v>
      </c>
    </row>
    <row r="35" spans="1:12">
      <c r="A35" t="s">
        <v>8</v>
      </c>
      <c r="B35">
        <v>229</v>
      </c>
      <c r="C35">
        <v>12</v>
      </c>
      <c r="F35">
        <v>47</v>
      </c>
      <c r="G35">
        <v>5</v>
      </c>
      <c r="H35">
        <f>5/52</f>
        <v>9.6153846153846159E-2</v>
      </c>
      <c r="I35" s="12" t="s">
        <v>24</v>
      </c>
      <c r="J35">
        <f>((H35*(1-B41))/((B41*(1-H35))))</f>
        <v>1.8625741192884548</v>
      </c>
      <c r="K35">
        <f t="shared" si="1"/>
        <v>0.27011356408207193</v>
      </c>
    </row>
    <row r="36" spans="1:12">
      <c r="A36" t="s">
        <v>9</v>
      </c>
      <c r="B36">
        <v>237</v>
      </c>
      <c r="C36">
        <v>18</v>
      </c>
      <c r="F36">
        <v>128</v>
      </c>
      <c r="G36">
        <v>9</v>
      </c>
      <c r="H36">
        <f>9/137</f>
        <v>6.569343065693431E-2</v>
      </c>
      <c r="I36" s="12" t="s">
        <v>25</v>
      </c>
      <c r="J36">
        <f>((H36*(1-B41))/((B41*(1-H36))))</f>
        <v>1.231045081967213</v>
      </c>
      <c r="K36">
        <f t="shared" si="1"/>
        <v>9.0273957473227029E-2</v>
      </c>
    </row>
    <row r="37" spans="1:12">
      <c r="A37" t="s">
        <v>10</v>
      </c>
      <c r="B37">
        <v>128</v>
      </c>
      <c r="C37">
        <v>8</v>
      </c>
      <c r="F37">
        <v>141</v>
      </c>
      <c r="G37">
        <v>20</v>
      </c>
      <c r="H37">
        <f>20/161</f>
        <v>0.12422360248447205</v>
      </c>
      <c r="I37" s="12" t="s">
        <v>26</v>
      </c>
      <c r="J37">
        <f>((H37*(1-B41))/((B41*(1-H37))))</f>
        <v>2.4834321590512727</v>
      </c>
      <c r="K37">
        <f t="shared" si="1"/>
        <v>0.39505230069037178</v>
      </c>
    </row>
    <row r="38" spans="1:12">
      <c r="A38" t="s">
        <v>11</v>
      </c>
      <c r="B38">
        <v>185</v>
      </c>
      <c r="C38">
        <v>5</v>
      </c>
      <c r="F38">
        <v>109</v>
      </c>
      <c r="G38">
        <v>20</v>
      </c>
      <c r="H38">
        <f>20/129</f>
        <v>0.15503875968992248</v>
      </c>
      <c r="I38" s="12" t="s">
        <v>27</v>
      </c>
      <c r="J38">
        <f>((H38*(1-B41))/((B41*(1-H38))))</f>
        <v>3.2125131598736649</v>
      </c>
      <c r="K38">
        <f t="shared" si="1"/>
        <v>0.5068449154051281</v>
      </c>
    </row>
    <row r="39" spans="1:12">
      <c r="A39" t="s">
        <v>12</v>
      </c>
      <c r="B39">
        <v>158</v>
      </c>
      <c r="C39">
        <v>9</v>
      </c>
      <c r="F39">
        <v>98</v>
      </c>
      <c r="G39">
        <v>8</v>
      </c>
      <c r="H39">
        <f>8/106</f>
        <v>7.5471698113207544E-2</v>
      </c>
      <c r="I39" s="12" t="s">
        <v>28</v>
      </c>
      <c r="J39">
        <f>((H39*(1-B41))/((B41*(1-H39))))</f>
        <v>1.4292405486784876</v>
      </c>
      <c r="K39">
        <f t="shared" si="1"/>
        <v>0.15510532898121926</v>
      </c>
    </row>
    <row r="40" spans="1:12">
      <c r="A40" s="4" t="s">
        <v>29</v>
      </c>
      <c r="B40" s="4">
        <f>SUM(B34:B39)</f>
        <v>1068</v>
      </c>
      <c r="C40" s="4">
        <f>SUM(C34:C39)</f>
        <v>61</v>
      </c>
      <c r="I40" s="12" t="s">
        <v>31</v>
      </c>
      <c r="J40" s="14">
        <f>AVERAGE(J34:J39)</f>
        <v>2.239099383897615</v>
      </c>
      <c r="K40" s="4">
        <f>AVERAGE(K34:K39)</f>
        <v>0.32077965228743327</v>
      </c>
      <c r="L40" s="6">
        <f>10^K40</f>
        <v>2.0930502368495763</v>
      </c>
    </row>
    <row r="41" spans="1:12">
      <c r="A41" s="4" t="s">
        <v>32</v>
      </c>
      <c r="B41" s="4">
        <f>C40/(C40+B40)</f>
        <v>5.4030115146147036E-2</v>
      </c>
      <c r="C41" s="4"/>
      <c r="I41" s="15" t="s">
        <v>34</v>
      </c>
      <c r="J41">
        <f>STDEV(J34:J39)</f>
        <v>0.86890459071996806</v>
      </c>
      <c r="K41">
        <f>STDEV(K34:K39)</f>
        <v>0.17780321954796216</v>
      </c>
    </row>
    <row r="42" spans="1:12">
      <c r="I42" s="15" t="s">
        <v>35</v>
      </c>
      <c r="J42">
        <f>_xlfn.CONFIDENCE.NORM(0.05,J41,6)</f>
        <v>0.69525569920437091</v>
      </c>
      <c r="K42">
        <f>_xlfn.CONFIDENCE.NORM(0.05,K41,6)</f>
        <v>0.14226959213689636</v>
      </c>
    </row>
    <row r="44" spans="1:12">
      <c r="A44" t="s">
        <v>36</v>
      </c>
    </row>
    <row r="46" spans="1:12">
      <c r="A46" s="7" t="s">
        <v>3</v>
      </c>
      <c r="B46" s="8" t="s">
        <v>16</v>
      </c>
      <c r="C46" s="8"/>
      <c r="D46" s="9"/>
      <c r="E46" s="9"/>
      <c r="F46" s="9"/>
      <c r="G46" s="9"/>
    </row>
    <row r="47" spans="1:12">
      <c r="A47" s="9" t="s">
        <v>17</v>
      </c>
      <c r="B47" s="10" t="s">
        <v>4</v>
      </c>
      <c r="C47" s="10" t="s">
        <v>5</v>
      </c>
      <c r="D47" s="10" t="s">
        <v>18</v>
      </c>
      <c r="E47" s="9"/>
      <c r="F47" s="10" t="s">
        <v>4</v>
      </c>
      <c r="G47" s="10" t="s">
        <v>19</v>
      </c>
      <c r="H47" s="10" t="s">
        <v>20</v>
      </c>
      <c r="I47" s="11" t="s">
        <v>21</v>
      </c>
      <c r="J47" s="9"/>
      <c r="K47" s="10" t="s">
        <v>22</v>
      </c>
    </row>
    <row r="48" spans="1:12">
      <c r="A48" t="s">
        <v>7</v>
      </c>
      <c r="B48">
        <v>57</v>
      </c>
      <c r="C48">
        <v>2</v>
      </c>
      <c r="D48">
        <f>2/59</f>
        <v>3.3898305084745763E-2</v>
      </c>
      <c r="F48">
        <v>94</v>
      </c>
      <c r="G48">
        <v>6</v>
      </c>
      <c r="H48" s="9">
        <f>6/100</f>
        <v>0.06</v>
      </c>
      <c r="I48" s="12" t="s">
        <v>23</v>
      </c>
      <c r="J48" s="9">
        <f>((H48*(1-B55))/((B55*(1-H48))))</f>
        <v>1.0630114566284781</v>
      </c>
      <c r="K48" s="9">
        <f t="shared" ref="K48:K53" si="2">LOG10(J48)</f>
        <v>2.6537945166492518E-2</v>
      </c>
    </row>
    <row r="49" spans="1:12">
      <c r="A49" t="s">
        <v>8</v>
      </c>
      <c r="B49">
        <v>90</v>
      </c>
      <c r="C49">
        <v>3</v>
      </c>
      <c r="D49">
        <f>3/93</f>
        <v>3.2258064516129031E-2</v>
      </c>
      <c r="F49">
        <v>110</v>
      </c>
      <c r="G49">
        <v>10</v>
      </c>
      <c r="H49" s="9">
        <f>10/120</f>
        <v>8.3333333333333329E-2</v>
      </c>
      <c r="I49" s="12" t="s">
        <v>24</v>
      </c>
      <c r="J49" s="9">
        <f>((H49*(1-B55))/((B55*(1-H49))))</f>
        <v>1.5139860139860142</v>
      </c>
      <c r="K49" s="9">
        <f t="shared" si="2"/>
        <v>0.1801218632243225</v>
      </c>
    </row>
    <row r="50" spans="1:12">
      <c r="A50" t="s">
        <v>9</v>
      </c>
      <c r="B50">
        <v>115</v>
      </c>
      <c r="C50">
        <v>6</v>
      </c>
      <c r="D50">
        <f>6/121</f>
        <v>4.9586776859504134E-2</v>
      </c>
      <c r="F50">
        <v>106</v>
      </c>
      <c r="G50">
        <v>8</v>
      </c>
      <c r="H50" s="9">
        <f>8/114</f>
        <v>7.0175438596491224E-2</v>
      </c>
      <c r="I50" s="12" t="s">
        <v>25</v>
      </c>
      <c r="J50" s="9">
        <f>((H50*(1-B55))/((B55*(1-H50))))</f>
        <v>1.2568940493468796</v>
      </c>
      <c r="K50" s="9">
        <f t="shared" si="2"/>
        <v>9.9298670109720863E-2</v>
      </c>
    </row>
    <row r="51" spans="1:12">
      <c r="A51" t="s">
        <v>10</v>
      </c>
      <c r="B51">
        <v>69</v>
      </c>
      <c r="C51">
        <v>4</v>
      </c>
      <c r="D51">
        <f>4/73</f>
        <v>5.4794520547945202E-2</v>
      </c>
      <c r="F51">
        <v>110</v>
      </c>
      <c r="G51">
        <v>12</v>
      </c>
      <c r="H51" s="9">
        <f>12/122</f>
        <v>9.8360655737704916E-2</v>
      </c>
      <c r="I51" s="12" t="s">
        <v>26</v>
      </c>
      <c r="J51" s="9">
        <f>((H51*(1-B55))/((B55*(1-H51))))</f>
        <v>1.816783216783217</v>
      </c>
      <c r="K51" s="9">
        <f t="shared" si="2"/>
        <v>0.25930310927194733</v>
      </c>
    </row>
    <row r="52" spans="1:12">
      <c r="A52" t="s">
        <v>11</v>
      </c>
      <c r="B52">
        <v>47</v>
      </c>
      <c r="C52">
        <v>5</v>
      </c>
      <c r="D52">
        <f>5/52</f>
        <v>9.6153846153846159E-2</v>
      </c>
      <c r="F52">
        <v>107</v>
      </c>
      <c r="G52">
        <v>18</v>
      </c>
      <c r="H52" s="9">
        <f>18/125</f>
        <v>0.14399999999999999</v>
      </c>
      <c r="I52" s="12" t="s">
        <v>27</v>
      </c>
      <c r="J52" s="9">
        <f>((H52*(1-B55))/((B55*(1-H52))))</f>
        <v>2.8015815959741195</v>
      </c>
      <c r="K52" s="9">
        <f t="shared" si="2"/>
        <v>0.44740327580064393</v>
      </c>
    </row>
    <row r="53" spans="1:12">
      <c r="A53" t="s">
        <v>12</v>
      </c>
      <c r="B53">
        <v>55</v>
      </c>
      <c r="C53">
        <v>6</v>
      </c>
      <c r="D53">
        <f>6/61</f>
        <v>9.8360655737704916E-2</v>
      </c>
      <c r="F53">
        <v>92</v>
      </c>
      <c r="G53">
        <v>7</v>
      </c>
      <c r="H53" s="9">
        <f>7/99</f>
        <v>7.0707070707070704E-2</v>
      </c>
      <c r="I53" s="12" t="s">
        <v>28</v>
      </c>
      <c r="J53" s="9">
        <f>((H53*(1-B55))/((B55*(1-H53))))</f>
        <v>1.2671404682274245</v>
      </c>
      <c r="K53" s="9">
        <f t="shared" si="2"/>
        <v>0.10282476105124896</v>
      </c>
    </row>
    <row r="54" spans="1:12">
      <c r="A54" s="4" t="s">
        <v>29</v>
      </c>
      <c r="B54" s="4">
        <f>SUM(B48:B53)</f>
        <v>433</v>
      </c>
      <c r="C54" s="4">
        <f>SUM(C48:C53)</f>
        <v>26</v>
      </c>
      <c r="D54" s="14">
        <f>STDEV(D48:D53)</f>
        <v>2.9532463921082965E-2</v>
      </c>
      <c r="H54" s="9"/>
      <c r="I54" s="12" t="s">
        <v>31</v>
      </c>
      <c r="J54" s="14">
        <f>AVERAGE(J48:J53)</f>
        <v>1.6198994668243554</v>
      </c>
      <c r="K54" s="10">
        <f>AVERAGE(K48:K53)</f>
        <v>0.18591493743739598</v>
      </c>
      <c r="L54" s="6">
        <f>10^K54</f>
        <v>1.5343164363370019</v>
      </c>
    </row>
    <row r="55" spans="1:12">
      <c r="A55" s="4" t="s">
        <v>32</v>
      </c>
      <c r="B55" s="4">
        <f>C54/(C54+B54)</f>
        <v>5.6644880174291937E-2</v>
      </c>
      <c r="C55" s="4"/>
      <c r="H55" s="9"/>
      <c r="I55" s="15" t="s">
        <v>34</v>
      </c>
      <c r="J55" s="9">
        <f>STDEV(J48:J53)</f>
        <v>0.63445876539787116</v>
      </c>
      <c r="K55" s="9"/>
    </row>
    <row r="59" spans="1:12">
      <c r="A59" s="5" t="s">
        <v>6</v>
      </c>
    </row>
    <row r="60" spans="1:12">
      <c r="A60" t="s">
        <v>17</v>
      </c>
      <c r="B60" s="4" t="s">
        <v>4</v>
      </c>
      <c r="C60" s="4" t="s">
        <v>5</v>
      </c>
      <c r="D60" s="4" t="s">
        <v>18</v>
      </c>
      <c r="F60" s="4" t="s">
        <v>4</v>
      </c>
      <c r="G60" s="4" t="s">
        <v>5</v>
      </c>
      <c r="H60" s="10" t="s">
        <v>20</v>
      </c>
      <c r="I60" s="11" t="s">
        <v>21</v>
      </c>
      <c r="J60" s="9"/>
      <c r="K60" s="10" t="s">
        <v>22</v>
      </c>
    </row>
    <row r="61" spans="1:12">
      <c r="A61" t="s">
        <v>7</v>
      </c>
      <c r="B61">
        <v>54</v>
      </c>
      <c r="C61">
        <v>1</v>
      </c>
      <c r="F61">
        <v>45</v>
      </c>
      <c r="G61">
        <v>3</v>
      </c>
      <c r="H61">
        <f>3/48</f>
        <v>6.25E-2</v>
      </c>
      <c r="I61" s="12" t="s">
        <v>23</v>
      </c>
      <c r="J61">
        <f>((H61*(1-B68))/((B68*(1-H61))))</f>
        <v>1.0259259259259259</v>
      </c>
      <c r="K61">
        <f t="shared" ref="K61:K66" si="3">LOG10(J61)</f>
        <v>1.1116004905461234E-2</v>
      </c>
    </row>
    <row r="62" spans="1:12">
      <c r="A62" t="s">
        <v>8</v>
      </c>
      <c r="B62">
        <v>97</v>
      </c>
      <c r="C62">
        <v>3</v>
      </c>
      <c r="F62">
        <v>66</v>
      </c>
      <c r="G62">
        <v>7</v>
      </c>
      <c r="H62">
        <f>7/73</f>
        <v>9.5890410958904104E-2</v>
      </c>
      <c r="I62" s="12" t="s">
        <v>24</v>
      </c>
      <c r="J62">
        <f>((H62*(1-B68))/((B68*(1-H62))))</f>
        <v>1.6321548821548817</v>
      </c>
      <c r="K62">
        <f t="shared" si="3"/>
        <v>0.21276136843353052</v>
      </c>
    </row>
    <row r="63" spans="1:12">
      <c r="A63" t="s">
        <v>9</v>
      </c>
      <c r="B63">
        <v>86</v>
      </c>
      <c r="C63">
        <v>9</v>
      </c>
      <c r="F63">
        <v>94</v>
      </c>
      <c r="G63">
        <v>10</v>
      </c>
      <c r="H63">
        <f>10/104</f>
        <v>9.6153846153846159E-2</v>
      </c>
      <c r="I63" s="12" t="s">
        <v>25</v>
      </c>
      <c r="J63">
        <f>((H63*(1-B68))/((B68*(1-H63))))</f>
        <v>1.6371158392434988</v>
      </c>
      <c r="K63">
        <f t="shared" si="3"/>
        <v>0.21407941036144382</v>
      </c>
    </row>
    <row r="64" spans="1:12">
      <c r="A64" t="s">
        <v>10</v>
      </c>
      <c r="B64">
        <v>92</v>
      </c>
      <c r="C64">
        <v>3</v>
      </c>
      <c r="F64">
        <v>45</v>
      </c>
      <c r="G64">
        <v>4</v>
      </c>
      <c r="H64">
        <f>4/49</f>
        <v>8.1632653061224483E-2</v>
      </c>
      <c r="I64" s="12" t="s">
        <v>26</v>
      </c>
      <c r="J64">
        <f>((H64*(1-B68))/((B68*(1-H64))))</f>
        <v>1.3679012345679011</v>
      </c>
      <c r="K64">
        <f t="shared" si="3"/>
        <v>0.13605474151376115</v>
      </c>
    </row>
    <row r="65" spans="1:12">
      <c r="A65" t="s">
        <v>11</v>
      </c>
      <c r="B65">
        <v>88</v>
      </c>
      <c r="C65">
        <v>3</v>
      </c>
      <c r="F65">
        <v>50</v>
      </c>
      <c r="G65">
        <v>11</v>
      </c>
      <c r="H65">
        <f>11/50</f>
        <v>0.22</v>
      </c>
      <c r="I65" s="12" t="s">
        <v>27</v>
      </c>
      <c r="J65">
        <f>((H65*(1-B68))/((B68*(1-H65))))</f>
        <v>4.3404558404558395</v>
      </c>
      <c r="K65">
        <f t="shared" si="3"/>
        <v>0.63753534209286822</v>
      </c>
    </row>
    <row r="66" spans="1:12">
      <c r="A66" t="s">
        <v>12</v>
      </c>
      <c r="B66">
        <v>137</v>
      </c>
      <c r="C66">
        <v>17</v>
      </c>
      <c r="F66">
        <v>63</v>
      </c>
      <c r="G66">
        <v>10</v>
      </c>
      <c r="H66">
        <f>10/63</f>
        <v>0.15873015873015872</v>
      </c>
      <c r="I66" s="12" t="s">
        <v>28</v>
      </c>
      <c r="J66">
        <f>((H66*(1-B68))/((B68*(1-H66))))</f>
        <v>2.9035639412997893</v>
      </c>
      <c r="K66">
        <f t="shared" si="3"/>
        <v>0.4629313943603533</v>
      </c>
    </row>
    <row r="67" spans="1:12">
      <c r="A67" s="4" t="s">
        <v>29</v>
      </c>
      <c r="B67" s="4">
        <f>SUM(B61:B66)</f>
        <v>554</v>
      </c>
      <c r="C67" s="4">
        <f>SUM(C61:C66)</f>
        <v>36</v>
      </c>
      <c r="I67" s="12" t="s">
        <v>31</v>
      </c>
      <c r="J67" s="14">
        <f>AVERAGE(J61:J66)</f>
        <v>2.1511862772746397</v>
      </c>
      <c r="K67" s="4">
        <f>AVERAGE(K61:K66)</f>
        <v>0.27907971027790307</v>
      </c>
      <c r="L67" s="6">
        <f>10^K67</f>
        <v>1.9014272352786221</v>
      </c>
    </row>
    <row r="68" spans="1:12">
      <c r="A68" s="4" t="s">
        <v>32</v>
      </c>
      <c r="B68" s="4">
        <f>C67/(C67+B67)</f>
        <v>6.1016949152542375E-2</v>
      </c>
      <c r="C68" s="4"/>
      <c r="I68" s="15" t="s">
        <v>34</v>
      </c>
      <c r="J68">
        <f>STDEV(J61:J66)</f>
        <v>1.2467864043546959</v>
      </c>
    </row>
    <row r="72" spans="1:12">
      <c r="A72" t="s">
        <v>37</v>
      </c>
    </row>
    <row r="74" spans="1:12">
      <c r="A74" s="7" t="s">
        <v>3</v>
      </c>
      <c r="B74" s="11" t="s">
        <v>21</v>
      </c>
      <c r="D74" s="5" t="s">
        <v>6</v>
      </c>
      <c r="E74" s="11" t="s">
        <v>21</v>
      </c>
    </row>
    <row r="75" spans="1:12">
      <c r="A75" t="s">
        <v>7</v>
      </c>
      <c r="B75">
        <v>1.6406854615809838</v>
      </c>
      <c r="D75" t="s">
        <v>7</v>
      </c>
      <c r="E75">
        <v>3.2157912345265971</v>
      </c>
    </row>
    <row r="76" spans="1:12">
      <c r="A76" t="s">
        <v>8</v>
      </c>
      <c r="B76">
        <v>1.7274074074074073</v>
      </c>
      <c r="D76" t="s">
        <v>8</v>
      </c>
      <c r="E76">
        <v>1.8625741192884548</v>
      </c>
    </row>
    <row r="77" spans="1:12">
      <c r="A77" t="s">
        <v>9</v>
      </c>
      <c r="B77">
        <v>3.1709401709401712</v>
      </c>
      <c r="D77" t="s">
        <v>9</v>
      </c>
      <c r="E77">
        <v>1.231045081967213</v>
      </c>
    </row>
    <row r="78" spans="1:12">
      <c r="A78" t="s">
        <v>10</v>
      </c>
      <c r="B78">
        <v>2.4537037037037037</v>
      </c>
      <c r="D78" t="s">
        <v>10</v>
      </c>
      <c r="E78">
        <v>2.4834321590512727</v>
      </c>
    </row>
    <row r="79" spans="1:12">
      <c r="A79" t="s">
        <v>11</v>
      </c>
      <c r="B79">
        <v>1.2288467329117734</v>
      </c>
      <c r="D79" t="s">
        <v>11</v>
      </c>
      <c r="E79">
        <v>3.2125131598736649</v>
      </c>
    </row>
    <row r="80" spans="1:12">
      <c r="A80" t="s">
        <v>12</v>
      </c>
      <c r="B80">
        <v>0.65432098765432101</v>
      </c>
      <c r="D80" t="s">
        <v>12</v>
      </c>
      <c r="E80">
        <v>1.4292405486784876</v>
      </c>
    </row>
    <row r="81" spans="1:5">
      <c r="A81" t="s">
        <v>38</v>
      </c>
      <c r="B81">
        <v>1.0630114566284781</v>
      </c>
      <c r="D81" t="s">
        <v>38</v>
      </c>
      <c r="E81">
        <v>1.0259259259259259</v>
      </c>
    </row>
    <row r="82" spans="1:5">
      <c r="A82" t="s">
        <v>39</v>
      </c>
      <c r="B82">
        <v>1.5139860139860142</v>
      </c>
      <c r="D82" t="s">
        <v>39</v>
      </c>
      <c r="E82">
        <v>1.6321548821548817</v>
      </c>
    </row>
    <row r="83" spans="1:5">
      <c r="A83" t="s">
        <v>40</v>
      </c>
      <c r="B83">
        <v>1.2568940493468796</v>
      </c>
      <c r="D83" t="s">
        <v>40</v>
      </c>
      <c r="E83">
        <v>1.6371158392434988</v>
      </c>
    </row>
    <row r="84" spans="1:5">
      <c r="A84" t="s">
        <v>41</v>
      </c>
      <c r="B84">
        <v>1.816783216783217</v>
      </c>
      <c r="D84" t="s">
        <v>41</v>
      </c>
      <c r="E84">
        <v>1.3679012345679011</v>
      </c>
    </row>
    <row r="85" spans="1:5">
      <c r="A85" t="s">
        <v>42</v>
      </c>
      <c r="B85">
        <v>2.8015815959741195</v>
      </c>
      <c r="D85" t="s">
        <v>42</v>
      </c>
      <c r="E85">
        <v>4.3404558404558395</v>
      </c>
    </row>
    <row r="86" spans="1:5">
      <c r="A86" t="s">
        <v>43</v>
      </c>
      <c r="B86">
        <v>1.2671404682274245</v>
      </c>
      <c r="D86" t="s">
        <v>43</v>
      </c>
      <c r="E86">
        <v>2.9035639412997893</v>
      </c>
    </row>
    <row r="87" spans="1:5">
      <c r="A87" s="4" t="s">
        <v>13</v>
      </c>
      <c r="B87" s="4">
        <f>AVERAGE(B75:B86)</f>
        <v>1.716275105428708</v>
      </c>
      <c r="D87" s="4" t="s">
        <v>13</v>
      </c>
      <c r="E87" s="4">
        <f>AVERAGE(E75:E86)</f>
        <v>2.1951428305861271</v>
      </c>
    </row>
    <row r="88" spans="1:5">
      <c r="A88" s="4" t="s">
        <v>14</v>
      </c>
      <c r="B88" s="4">
        <f>STDEV(B75:B86)</f>
        <v>0.74464398367270213</v>
      </c>
      <c r="D88" s="4" t="s">
        <v>14</v>
      </c>
      <c r="E88" s="4">
        <f>STDEV(E75:E86)</f>
        <v>1.0256059748548674</v>
      </c>
    </row>
    <row r="89" spans="1:5">
      <c r="A89" s="4" t="s">
        <v>44</v>
      </c>
      <c r="B89" s="4">
        <f>CONFIDENCE(0.05,B88,12)</f>
        <v>0.42131425444483966</v>
      </c>
      <c r="D89" s="4" t="s">
        <v>44</v>
      </c>
      <c r="E89" s="4">
        <f>CONFIDENCE(0.05,E88,12)</f>
        <v>0.5802805449645263</v>
      </c>
    </row>
  </sheetData>
  <mergeCells count="5">
    <mergeCell ref="A3:E3"/>
    <mergeCell ref="A4:C4"/>
    <mergeCell ref="E4:G4"/>
    <mergeCell ref="B20:C20"/>
    <mergeCell ref="B46:C4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Ghoul</dc:creator>
  <cp:lastModifiedBy>Melanie Ghoul</cp:lastModifiedBy>
  <dcterms:created xsi:type="dcterms:W3CDTF">2014-01-10T16:32:03Z</dcterms:created>
  <dcterms:modified xsi:type="dcterms:W3CDTF">2014-01-10T16:44:01Z</dcterms:modified>
</cp:coreProperties>
</file>