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060" tabRatio="500" activeTab="2"/>
  </bookViews>
  <sheets>
    <sheet name="Eye-Groups" sheetId="2" r:id="rId1"/>
    <sheet name="Eye-Individuals" sheetId="1" r:id="rId2"/>
    <sheet name="Visual FIeld-Group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" i="1" l="1"/>
  <c r="M9" i="1"/>
  <c r="O9" i="1"/>
  <c r="M18" i="1"/>
  <c r="O18" i="1"/>
  <c r="M20" i="1"/>
  <c r="O20" i="1"/>
  <c r="M21" i="1"/>
  <c r="O21" i="1"/>
  <c r="M23" i="1"/>
  <c r="O23" i="1"/>
  <c r="J15" i="2"/>
  <c r="J14" i="2"/>
  <c r="N9" i="1"/>
  <c r="N18" i="1"/>
  <c r="N20" i="1"/>
  <c r="N21" i="1"/>
  <c r="N23" i="1"/>
  <c r="I15" i="2"/>
  <c r="I14" i="2"/>
  <c r="J11" i="2"/>
  <c r="J10" i="2"/>
  <c r="I11" i="2"/>
  <c r="I10" i="2"/>
  <c r="J9" i="2"/>
  <c r="J8" i="2"/>
  <c r="I9" i="2"/>
  <c r="I8" i="2"/>
  <c r="O4" i="1"/>
  <c r="M6" i="1"/>
  <c r="O6" i="1"/>
  <c r="M7" i="1"/>
  <c r="O7" i="1"/>
  <c r="J3" i="2"/>
  <c r="J2" i="2"/>
  <c r="N4" i="1"/>
  <c r="N6" i="1"/>
  <c r="N7" i="1"/>
  <c r="I3" i="2"/>
  <c r="I2" i="2"/>
  <c r="D15" i="2"/>
  <c r="D14" i="2"/>
  <c r="C15" i="2"/>
  <c r="C14" i="2"/>
  <c r="D11" i="2"/>
  <c r="D10" i="2"/>
  <c r="C11" i="2"/>
  <c r="C10" i="2"/>
  <c r="D9" i="2"/>
  <c r="D8" i="2"/>
  <c r="C9" i="2"/>
  <c r="C8" i="2"/>
  <c r="D3" i="2"/>
  <c r="D2" i="2"/>
  <c r="C3" i="2"/>
  <c r="C2" i="2"/>
  <c r="N59" i="1"/>
  <c r="N58" i="1"/>
  <c r="N57" i="1"/>
  <c r="N55" i="1"/>
  <c r="N54" i="1"/>
  <c r="N53" i="1"/>
  <c r="N51" i="1"/>
  <c r="N50" i="1"/>
  <c r="N49" i="1"/>
  <c r="N45" i="1"/>
  <c r="N44" i="1"/>
  <c r="N43" i="1"/>
  <c r="N40" i="1"/>
  <c r="N39" i="1"/>
  <c r="N38" i="1"/>
  <c r="N31" i="1"/>
  <c r="D19" i="3"/>
  <c r="C19" i="3"/>
  <c r="E19" i="3"/>
  <c r="D17" i="3"/>
  <c r="C17" i="3"/>
  <c r="E17" i="3"/>
  <c r="E10" i="3"/>
  <c r="D8" i="3"/>
  <c r="C8" i="3"/>
  <c r="E8" i="3"/>
  <c r="E6" i="3"/>
  <c r="E4" i="3"/>
  <c r="E2" i="3"/>
  <c r="I18" i="3"/>
  <c r="H18" i="3"/>
  <c r="G18" i="3"/>
  <c r="F18" i="3"/>
  <c r="F17" i="3"/>
  <c r="G17" i="3"/>
  <c r="H17" i="3"/>
  <c r="I17" i="3"/>
  <c r="D18" i="3"/>
  <c r="C18" i="3"/>
  <c r="F19" i="3"/>
  <c r="G19" i="3"/>
  <c r="H19" i="3"/>
  <c r="I19" i="3"/>
  <c r="D9" i="3"/>
  <c r="C9" i="3"/>
  <c r="E15" i="2"/>
  <c r="F15" i="2"/>
  <c r="H18" i="1"/>
  <c r="H19" i="1"/>
  <c r="H16" i="1"/>
  <c r="H17" i="1"/>
  <c r="H11" i="1"/>
  <c r="H12" i="1"/>
  <c r="H9" i="1"/>
  <c r="H10" i="1"/>
  <c r="H14" i="1"/>
  <c r="H15" i="1"/>
  <c r="H13" i="1"/>
  <c r="H20" i="1"/>
  <c r="H23" i="1"/>
  <c r="H21" i="1"/>
  <c r="H24" i="1"/>
  <c r="H26" i="1"/>
  <c r="H27" i="1"/>
  <c r="H25" i="1"/>
  <c r="H22" i="1"/>
  <c r="H2" i="1"/>
  <c r="H3" i="1"/>
  <c r="H4" i="1"/>
  <c r="H5" i="1"/>
  <c r="H6" i="1"/>
  <c r="H7" i="1"/>
  <c r="H8" i="1"/>
  <c r="G15" i="2"/>
  <c r="G14" i="2"/>
  <c r="F14" i="2"/>
  <c r="E14" i="2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G13" i="2"/>
  <c r="G12" i="2"/>
  <c r="F13" i="2"/>
  <c r="F12" i="2"/>
  <c r="E13" i="2"/>
  <c r="E12" i="2"/>
  <c r="G11" i="2"/>
  <c r="G10" i="2"/>
  <c r="F11" i="2"/>
  <c r="F10" i="2"/>
  <c r="E11" i="2"/>
  <c r="E10" i="2"/>
  <c r="G9" i="2"/>
  <c r="G8" i="2"/>
  <c r="F9" i="2"/>
  <c r="F8" i="2"/>
  <c r="E9" i="2"/>
  <c r="E8" i="2"/>
  <c r="G3" i="2"/>
  <c r="G2" i="2"/>
  <c r="F3" i="2"/>
  <c r="F2" i="2"/>
  <c r="E3" i="2"/>
  <c r="E2" i="2"/>
  <c r="H30" i="1"/>
  <c r="H29" i="1"/>
</calcChain>
</file>

<file path=xl/sharedStrings.xml><?xml version="1.0" encoding="utf-8"?>
<sst xmlns="http://schemas.openxmlformats.org/spreadsheetml/2006/main" count="264" uniqueCount="104">
  <si>
    <t>Individual</t>
  </si>
  <si>
    <t>Species</t>
  </si>
  <si>
    <t>WXRP</t>
  </si>
  <si>
    <t>Eye</t>
  </si>
  <si>
    <t>Right</t>
  </si>
  <si>
    <t>Tree Swallow</t>
  </si>
  <si>
    <t>GSPL</t>
  </si>
  <si>
    <t>Left</t>
  </si>
  <si>
    <t>LXPW</t>
  </si>
  <si>
    <t>Central Fovea (cells/mm2)</t>
  </si>
  <si>
    <t>Temporal Fovea/Area (cells/mm2)</t>
  </si>
  <si>
    <t>Acadian Flycatcher</t>
  </si>
  <si>
    <t>Least Flycatcher</t>
  </si>
  <si>
    <t>YXWX</t>
  </si>
  <si>
    <t>axial length (mm)</t>
  </si>
  <si>
    <t>Brown Falcon</t>
  </si>
  <si>
    <t>Wedge-tailed Eagle</t>
  </si>
  <si>
    <t>Source</t>
  </si>
  <si>
    <t>This paper</t>
  </si>
  <si>
    <t>Reymond 1987</t>
  </si>
  <si>
    <t>Reymond 1985</t>
  </si>
  <si>
    <t>Transverse diameter (mm)</t>
  </si>
  <si>
    <t>American Goldfinch</t>
  </si>
  <si>
    <t>Baumhardt et al. 2014</t>
  </si>
  <si>
    <t>American Robin</t>
  </si>
  <si>
    <t>Brown-headed Cowbird</t>
  </si>
  <si>
    <t>Blue Jay</t>
  </si>
  <si>
    <t>Brown Thrasher</t>
  </si>
  <si>
    <t>Northern Cardinal</t>
  </si>
  <si>
    <t>Carolina Wren</t>
  </si>
  <si>
    <t>Carolina Chickadee</t>
  </si>
  <si>
    <t>Moore et al. 2013</t>
  </si>
  <si>
    <t>Tufted Titmouse</t>
  </si>
  <si>
    <t>White-breasted Nuthatch</t>
  </si>
  <si>
    <t>Common Grackle</t>
  </si>
  <si>
    <t>Eastern Blueburd</t>
  </si>
  <si>
    <t>Eastern Meadowlark</t>
  </si>
  <si>
    <t>Tyrrell et al. 2013</t>
  </si>
  <si>
    <t>European Starling</t>
  </si>
  <si>
    <t>Field Sparrow</t>
  </si>
  <si>
    <t>Moore et al. 2015</t>
  </si>
  <si>
    <t>Gray Catbird</t>
  </si>
  <si>
    <t>House Wren</t>
  </si>
  <si>
    <t>Indigo Bunting</t>
  </si>
  <si>
    <t>American Tree Sparrow</t>
  </si>
  <si>
    <t>Chipping Sparrow</t>
  </si>
  <si>
    <t>Dark-eyed Junco</t>
  </si>
  <si>
    <t>Red-winged Blackbird</t>
  </si>
  <si>
    <t>Song Sparrow</t>
  </si>
  <si>
    <t>White-throated Sparrow</t>
  </si>
  <si>
    <t>Baumhardt et al. 2014, Moore et al. in review</t>
  </si>
  <si>
    <t>Moore et al. in review</t>
  </si>
  <si>
    <t>House Sparrow</t>
  </si>
  <si>
    <t>White-crowned Sparrow</t>
  </si>
  <si>
    <t>Axial/Transverse</t>
  </si>
  <si>
    <t>XXYX</t>
  </si>
  <si>
    <t>918R</t>
  </si>
  <si>
    <t>Hawks</t>
  </si>
  <si>
    <t>Falcons</t>
  </si>
  <si>
    <t>Typical Passerines</t>
  </si>
  <si>
    <t>n=1,11</t>
  </si>
  <si>
    <t>n=3,7</t>
  </si>
  <si>
    <t>n=16</t>
  </si>
  <si>
    <t>n=26, range=0.72-0.86</t>
  </si>
  <si>
    <t>n=4,19</t>
  </si>
  <si>
    <t>n=3,8</t>
  </si>
  <si>
    <t>At rest 90</t>
  </si>
  <si>
    <t>At rest 270</t>
  </si>
  <si>
    <t>Converge 90</t>
  </si>
  <si>
    <t>Converge 270</t>
  </si>
  <si>
    <t>Diverge 90</t>
  </si>
  <si>
    <t>Diverge 270</t>
  </si>
  <si>
    <t>n=4</t>
  </si>
  <si>
    <t>Other Passerines</t>
  </si>
  <si>
    <t>Martin 1986</t>
  </si>
  <si>
    <t>Eastern Towhee</t>
  </si>
  <si>
    <t>Fernández-Juricic et al. 2008</t>
  </si>
  <si>
    <t>American Crow</t>
  </si>
  <si>
    <t>Western Scrub Jay</t>
  </si>
  <si>
    <t>Fernández-Juricic et al. 2010</t>
  </si>
  <si>
    <t>n=3</t>
  </si>
  <si>
    <t>Empidonax Flycatchers</t>
  </si>
  <si>
    <t>n=6</t>
  </si>
  <si>
    <t>Cooper's Hawk</t>
  </si>
  <si>
    <t>Red-tailed Hawk</t>
  </si>
  <si>
    <t>Short-toed Snake Eagle</t>
  </si>
  <si>
    <t>American Kestrel</t>
  </si>
  <si>
    <t>n=1</t>
  </si>
  <si>
    <t>O'Rourke et al. 2010</t>
  </si>
  <si>
    <t>Harris's Hawk</t>
  </si>
  <si>
    <t>Potier et al. 2016</t>
  </si>
  <si>
    <t>Martin and Katzir 1999</t>
  </si>
  <si>
    <t>Blind/Binocular</t>
  </si>
  <si>
    <t>PND (mm)</t>
  </si>
  <si>
    <t>Central Spatial resolving power (cycles/degree)</t>
  </si>
  <si>
    <t>Temporal spatial resolving power (cycles/degree)</t>
  </si>
  <si>
    <t>Central Spatial Resoving Power</t>
  </si>
  <si>
    <t>Temporal Spatial Resolving Power (cycles/degree)</t>
  </si>
  <si>
    <t>Binoc:Blind</t>
  </si>
  <si>
    <t>mean</t>
  </si>
  <si>
    <t>standard error</t>
  </si>
  <si>
    <t>Axial diameter (mm)</t>
  </si>
  <si>
    <t>at rest 90 binocular field</t>
  </si>
  <si>
    <t>at rest 270 blind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</si>
</sst>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ill="1"/>
    <xf numFmtId="0" fontId="3" fillId="0" borderId="0" xfId="0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0" fontId="4" fillId="0" borderId="0" xfId="0" applyFont="1"/>
  </cellXfs>
  <cellStyles count="2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15" sqref="A15"/>
    </sheetView>
  </sheetViews>
  <sheetFormatPr baseColWidth="10" defaultRowHeight="15" x14ac:dyDescent="0"/>
  <cols>
    <col min="1" max="1" width="20" bestFit="1" customWidth="1"/>
    <col min="2" max="2" width="13" bestFit="1" customWidth="1"/>
  </cols>
  <sheetData>
    <row r="1" spans="1:10">
      <c r="A1" t="s">
        <v>1</v>
      </c>
      <c r="C1" t="s">
        <v>9</v>
      </c>
      <c r="D1" t="s">
        <v>10</v>
      </c>
      <c r="E1" t="s">
        <v>21</v>
      </c>
      <c r="F1" t="s">
        <v>14</v>
      </c>
      <c r="G1" t="s">
        <v>54</v>
      </c>
      <c r="I1" t="s">
        <v>96</v>
      </c>
      <c r="J1" t="s">
        <v>97</v>
      </c>
    </row>
    <row r="2" spans="1:10">
      <c r="A2" t="s">
        <v>5</v>
      </c>
      <c r="B2" t="s">
        <v>99</v>
      </c>
      <c r="C2" s="5">
        <f>AVERAGE('Eye-Individuals'!D4,'Eye-Individuals'!D6:D7)</f>
        <v>57699.666666666664</v>
      </c>
      <c r="D2" s="5">
        <f>AVERAGE('Eye-Individuals'!E4,'Eye-Individuals'!E6:E7)</f>
        <v>40174.333333333336</v>
      </c>
      <c r="E2" s="3">
        <f>AVERAGE('Eye-Individuals'!F2:F8)</f>
        <v>8.3885714285714279</v>
      </c>
      <c r="F2" s="3">
        <f>AVERAGE('Eye-Individuals'!G2:G8)</f>
        <v>8.2999999999999989</v>
      </c>
      <c r="G2" s="3">
        <f>AVERAGE('Eye-Individuals'!H2:H8)</f>
        <v>0.98978791452620396</v>
      </c>
      <c r="H2" t="s">
        <v>61</v>
      </c>
      <c r="I2" s="3">
        <f>AVERAGE('Eye-Individuals'!N4,'Eye-Individuals'!N6:N7)</f>
        <v>10.988461440764675</v>
      </c>
      <c r="J2" s="3">
        <f>AVERAGE('Eye-Individuals'!O4,'Eye-Individuals'!O6:O7)</f>
        <v>9.1334967596574312</v>
      </c>
    </row>
    <row r="3" spans="1:10">
      <c r="B3" t="s">
        <v>100</v>
      </c>
      <c r="C3" s="5">
        <f>STDEV('Eye-Individuals'!D4,'Eye-Individuals'!D6:D7)/SQRT(3)</f>
        <v>1226.1904872861767</v>
      </c>
      <c r="D3" s="5">
        <f>STDEV('Eye-Individuals'!E4,'Eye-Individuals'!E6:E7)/SQRT(3)</f>
        <v>5279.6830186837769</v>
      </c>
      <c r="E3" s="3">
        <f>STDEV('Eye-Individuals'!F2:F8)/SQRT(7)</f>
        <v>6.4712866588034879E-2</v>
      </c>
      <c r="F3" s="3">
        <f>STDEV('Eye-Individuals'!G2:G8)/SQRT(7)</f>
        <v>7.4097747539828757E-2</v>
      </c>
      <c r="G3" s="3">
        <f>STDEV('Eye-Individuals'!H2:H8)/SQRT(7)</f>
        <v>1.1610565600538039E-2</v>
      </c>
      <c r="I3" s="3">
        <f>STDEV('Eye-Individuals'!N4,'Eye-Individuals'!N6:N7)/SQRT(3)</f>
        <v>7.9466298045289069E-2</v>
      </c>
      <c r="J3" s="3">
        <f>STDEV('Eye-Individuals'!O4,'Eye-Individuals'!O6:O7)/SQRT(3)</f>
        <v>0.61746014285999617</v>
      </c>
    </row>
    <row r="4" spans="1:10">
      <c r="A4" t="s">
        <v>58</v>
      </c>
      <c r="B4" t="s">
        <v>99</v>
      </c>
      <c r="E4" s="3">
        <v>23.5</v>
      </c>
      <c r="F4" s="3">
        <v>23.5</v>
      </c>
      <c r="G4" s="3">
        <v>1</v>
      </c>
    </row>
    <row r="5" spans="1:10">
      <c r="B5" t="s">
        <v>100</v>
      </c>
      <c r="E5" s="3"/>
      <c r="F5" s="3"/>
      <c r="G5" s="3"/>
    </row>
    <row r="6" spans="1:10">
      <c r="A6" t="s">
        <v>57</v>
      </c>
      <c r="B6" t="s">
        <v>99</v>
      </c>
      <c r="E6" s="3">
        <v>32.25</v>
      </c>
      <c r="F6" s="3">
        <v>34.700000000000003</v>
      </c>
      <c r="G6" s="3">
        <v>1.0759689922480622</v>
      </c>
    </row>
    <row r="7" spans="1:10">
      <c r="B7" t="s">
        <v>100</v>
      </c>
    </row>
    <row r="8" spans="1:10">
      <c r="A8" t="s">
        <v>11</v>
      </c>
      <c r="B8" t="s">
        <v>99</v>
      </c>
      <c r="C8">
        <f>AVERAGE('Eye-Individuals'!D20:D21,'Eye-Individuals'!D23)</f>
        <v>63762</v>
      </c>
      <c r="D8">
        <f>AVERAGE('Eye-Individuals'!E20:E21,'Eye-Individuals'!E23)</f>
        <v>45177</v>
      </c>
      <c r="E8" s="3">
        <f>AVERAGE('Eye-Individuals'!F20:F27)</f>
        <v>8.7462499999999999</v>
      </c>
      <c r="F8" s="3">
        <f>AVERAGE('Eye-Individuals'!G20:G27)</f>
        <v>7.1275000000000013</v>
      </c>
      <c r="G8" s="3">
        <f>AVERAGE('Eye-Individuals'!H20:H27)</f>
        <v>0.81493373008673509</v>
      </c>
      <c r="H8" t="s">
        <v>65</v>
      </c>
      <c r="I8" s="3">
        <f>AVERAGE('Eye-Individuals'!N20,'Eye-Individuals'!N21,'Eye-Individuals'!N23)</f>
        <v>10.081519546549053</v>
      </c>
      <c r="J8" s="3">
        <f>AVERAGE('Eye-Individuals'!O20,'Eye-Individuals'!O21,'Eye-Individuals'!O23)</f>
        <v>8.4811231565737479</v>
      </c>
    </row>
    <row r="9" spans="1:10">
      <c r="B9" t="s">
        <v>100</v>
      </c>
      <c r="C9" s="5">
        <f>STDEV('Eye-Individuals'!D20:D21,'Eye-Individuals'!D23)/SQRT(3)</f>
        <v>6924.732076646239</v>
      </c>
      <c r="D9" s="5">
        <f>STDEV('Eye-Individuals'!E20:E21,'Eye-Individuals'!E23)/SQRT(3)</f>
        <v>5506.6687146888853</v>
      </c>
      <c r="E9" s="3">
        <f>STDEV('Eye-Individuals'!F20:F27)/SQRT(8)</f>
        <v>3.4689309798347279E-2</v>
      </c>
      <c r="F9" s="3">
        <f>STDEV('Eye-Individuals'!G20:G27)/SQRT(8)</f>
        <v>5.3975854390114632E-2</v>
      </c>
      <c r="G9" s="3">
        <f>STDEV('Eye-Individuals'!H20:H27)/SQRT(8)</f>
        <v>5.5128599165975983E-3</v>
      </c>
      <c r="I9" s="3">
        <f>STDEV('Eye-Individuals'!N20:N21,'Eye-Individuals'!N23)/SQRT(3)</f>
        <v>0.54242865110353289</v>
      </c>
      <c r="J9" s="3">
        <f>STDEV('Eye-Individuals'!O20:O21,'Eye-Individuals'!O23)/SQRT(3)</f>
        <v>0.49373948111170696</v>
      </c>
    </row>
    <row r="10" spans="1:10">
      <c r="A10" t="s">
        <v>12</v>
      </c>
      <c r="B10" t="s">
        <v>99</v>
      </c>
      <c r="C10" s="5">
        <f>AVERAGE('Eye-Individuals'!D9,'Eye-Individuals'!D18)</f>
        <v>56027.5</v>
      </c>
      <c r="D10" s="5">
        <f>AVERAGE('Eye-Individuals'!E9,'Eye-Individuals'!E18)</f>
        <v>38112.5</v>
      </c>
      <c r="E10" s="3">
        <f>AVERAGE('Eye-Individuals'!F9:F19)</f>
        <v>8.504545454545454</v>
      </c>
      <c r="F10" s="3">
        <f>AVERAGE('Eye-Individuals'!G9:G19)</f>
        <v>6.7827272727272723</v>
      </c>
      <c r="G10" s="3">
        <f>AVERAGE('Eye-Individuals'!H9:H19)</f>
        <v>0.79758326663636059</v>
      </c>
      <c r="H10" s="3" t="s">
        <v>60</v>
      </c>
      <c r="I10" s="3">
        <f>AVERAGE('Eye-Individuals'!N9,'Eye-Individuals'!N18)</f>
        <v>9.1936524914632045</v>
      </c>
      <c r="J10" s="3">
        <f>AVERAGE('Eye-Individuals'!O9,'Eye-Individuals'!O18)</f>
        <v>7.5861672533054474</v>
      </c>
    </row>
    <row r="11" spans="1:10">
      <c r="B11" t="s">
        <v>100</v>
      </c>
      <c r="C11" s="5">
        <f>STDEV('Eye-Individuals'!D9,'Eye-Individuals'!D18)/SQRT(2)</f>
        <v>3698.5</v>
      </c>
      <c r="D11" s="5">
        <f>STDEV('Eye-Individuals'!E9,'Eye-Individuals'!E18)/SQRT(2)</f>
        <v>1641.4999999999998</v>
      </c>
      <c r="E11" s="3">
        <f>STDEV('Eye-Individuals'!F9:F19)/SQRT(11)</f>
        <v>5.3468149165710112E-2</v>
      </c>
      <c r="F11" s="3">
        <f>STDEV('Eye-Individuals'!G9:G19)/SQRT(11)</f>
        <v>7.4358968513200285E-2</v>
      </c>
      <c r="G11" s="3">
        <f>STDEV('Eye-Individuals'!H9:H19)/SQRT(11)</f>
        <v>7.5761145753498078E-3</v>
      </c>
      <c r="I11" s="3">
        <f>STDEV('Eye-Individuals'!N9,'Eye-Individuals'!N18)/SQRT(2)</f>
        <v>0.18411360223378723</v>
      </c>
      <c r="J11" s="3">
        <f>STDEV('Eye-Individuals'!O9,'Eye-Individuals'!O18)/SQRT(2)</f>
        <v>6.4654743102088741E-2</v>
      </c>
    </row>
    <row r="12" spans="1:10">
      <c r="A12" t="s">
        <v>59</v>
      </c>
      <c r="B12" t="s">
        <v>99</v>
      </c>
      <c r="E12" s="3">
        <f>AVERAGE('Eye-Individuals'!F31:F56)</f>
        <v>9.4146153846153844</v>
      </c>
      <c r="F12" s="3">
        <f>AVERAGE('Eye-Individuals'!G31:G56)</f>
        <v>7.2826923076923071</v>
      </c>
      <c r="G12" s="3">
        <f>AVERAGE('Eye-Individuals'!H31:H56)</f>
        <v>0.77326782108566205</v>
      </c>
      <c r="H12" t="s">
        <v>63</v>
      </c>
    </row>
    <row r="13" spans="1:10">
      <c r="B13" t="s">
        <v>100</v>
      </c>
      <c r="E13" s="3">
        <f>STDEV('Eye-Individuals'!F31:F56)/SQRT(26)</f>
        <v>0.44172432432256453</v>
      </c>
      <c r="F13" s="3">
        <f>STDEV('Eye-Individuals'!G31:G56)/SQRT(26)</f>
        <v>0.35203171084972917</v>
      </c>
      <c r="G13" s="3">
        <f>STDEV('Eye-Individuals'!H31:H56)/SQRT(26)</f>
        <v>5.8515686939187459E-3</v>
      </c>
    </row>
    <row r="14" spans="1:10">
      <c r="A14" t="s">
        <v>81</v>
      </c>
      <c r="B14" t="s">
        <v>99</v>
      </c>
      <c r="C14" s="5">
        <f>AVERAGE('Eye-Individuals'!D18,'Eye-Individuals'!D20:D21,'Eye-Individuals'!D23,'Eye-Individuals'!D9)</f>
        <v>60668.2</v>
      </c>
      <c r="D14" s="5">
        <f>AVERAGE('Eye-Individuals'!E18,'Eye-Individuals'!E20:E21,'Eye-Individuals'!E23,'Eye-Individuals'!E9)</f>
        <v>42351.199999999997</v>
      </c>
      <c r="E14" s="3">
        <f>AVERAGE('Eye-Individuals'!F9:F27)</f>
        <v>8.6063157894736833</v>
      </c>
      <c r="F14" s="3">
        <f>AVERAGE('Eye-Individuals'!G9:G27)</f>
        <v>6.9278947368421049</v>
      </c>
      <c r="G14" s="3">
        <f>AVERAGE('Eye-Individuals'!H9:H27)</f>
        <v>0.80488872493125507</v>
      </c>
      <c r="H14" t="s">
        <v>64</v>
      </c>
      <c r="I14" s="3">
        <f>AVERAGE('Eye-Individuals'!N9,'Eye-Individuals'!N18,'Eye-Individuals'!N20:N21,'Eye-Individuals'!N23)</f>
        <v>9.7263727245147145</v>
      </c>
      <c r="J14" s="3">
        <f>AVERAGE('Eye-Individuals'!O9,'Eye-Individuals'!O18,'Eye-Individuals'!O20:O21,'Eye-Individuals'!O23)</f>
        <v>8.1231407952664281</v>
      </c>
    </row>
    <row r="15" spans="1:10">
      <c r="B15" t="s">
        <v>100</v>
      </c>
      <c r="C15" s="5">
        <f>STDEV('Eye-Individuals'!D18,'Eye-Individuals'!D20:D21,'Eye-Individuals'!D23,'Eye-Individuals'!D9)/SQRT(4)</f>
        <v>4917.1655885275977</v>
      </c>
      <c r="D15" s="5">
        <f>STDEV('Eye-Individuals'!E18,'Eye-Individuals'!E20:E21,'Eye-Individuals'!E23,'Eye-Individuals'!E9)/SQRT(4)</f>
        <v>3930.7922134093978</v>
      </c>
      <c r="E15" s="3">
        <f>STDEV('Eye-Individuals'!F9:F27)/SQRT(19)</f>
        <v>4.3677516573013227E-2</v>
      </c>
      <c r="F15" s="3">
        <f>STDEV('Eye-Individuals'!G9:G27)/SQRT(19)</f>
        <v>6.2171141588475601E-2</v>
      </c>
      <c r="G15" s="3">
        <f>STDEV('Eye-Individuals'!H9:H27)/SQRT(19)</f>
        <v>5.2454216334981993E-3</v>
      </c>
      <c r="I15" s="3">
        <f>STDEV('Eye-Individuals'!N9,'Eye-Individuals'!N18,'Eye-Individuals'!N20:N21,'Eye-Individuals'!N23)/SQRT(5)</f>
        <v>0.37276924331891764</v>
      </c>
      <c r="J15" s="3">
        <f>STDEV('Eye-Individuals'!O9,'Eye-Individuals'!O18,'Eye-Individuals'!O20:O21,'Eye-Individuals'!O23)/SQRT(5)</f>
        <v>0.34872394565154802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J18" sqref="J18"/>
    </sheetView>
  </sheetViews>
  <sheetFormatPr baseColWidth="10" defaultRowHeight="15" x14ac:dyDescent="0"/>
  <cols>
    <col min="1" max="1" width="9.1640625" bestFit="1" customWidth="1"/>
    <col min="2" max="2" width="5.5" bestFit="1" customWidth="1"/>
    <col min="3" max="3" width="16.5" bestFit="1" customWidth="1"/>
    <col min="9" max="9" width="19.1640625" customWidth="1"/>
  </cols>
  <sheetData>
    <row r="1" spans="1:15">
      <c r="A1" t="s">
        <v>0</v>
      </c>
      <c r="B1" t="s">
        <v>3</v>
      </c>
      <c r="C1" t="s">
        <v>1</v>
      </c>
      <c r="D1" t="s">
        <v>9</v>
      </c>
      <c r="E1" t="s">
        <v>10</v>
      </c>
      <c r="F1" t="s">
        <v>21</v>
      </c>
      <c r="G1" t="s">
        <v>101</v>
      </c>
      <c r="H1" t="s">
        <v>54</v>
      </c>
      <c r="I1" t="s">
        <v>17</v>
      </c>
      <c r="J1" t="s">
        <v>102</v>
      </c>
      <c r="K1" t="s">
        <v>103</v>
      </c>
      <c r="L1" t="s">
        <v>17</v>
      </c>
      <c r="M1" t="s">
        <v>93</v>
      </c>
      <c r="N1" t="s">
        <v>94</v>
      </c>
      <c r="O1" t="s">
        <v>95</v>
      </c>
    </row>
    <row r="2" spans="1:15">
      <c r="A2" s="6">
        <v>1501</v>
      </c>
      <c r="B2" t="s">
        <v>7</v>
      </c>
      <c r="C2" t="s">
        <v>5</v>
      </c>
      <c r="F2">
        <v>8.34</v>
      </c>
      <c r="G2">
        <v>8.4</v>
      </c>
      <c r="H2" s="3">
        <f t="shared" ref="H2:H27" si="0">G2/F2</f>
        <v>1.0071942446043165</v>
      </c>
      <c r="I2" t="s">
        <v>18</v>
      </c>
      <c r="O2" s="3"/>
    </row>
    <row r="3" spans="1:15">
      <c r="A3" s="6">
        <v>1501</v>
      </c>
      <c r="B3" t="s">
        <v>4</v>
      </c>
      <c r="C3" t="s">
        <v>5</v>
      </c>
      <c r="F3">
        <v>8.49</v>
      </c>
      <c r="G3">
        <v>8.42</v>
      </c>
      <c r="H3" s="3">
        <f t="shared" si="0"/>
        <v>0.99175500588928145</v>
      </c>
      <c r="I3" t="s">
        <v>18</v>
      </c>
    </row>
    <row r="4" spans="1:15">
      <c r="A4" s="6" t="s">
        <v>6</v>
      </c>
      <c r="B4" t="s">
        <v>4</v>
      </c>
      <c r="C4" t="s">
        <v>5</v>
      </c>
      <c r="D4">
        <v>55773</v>
      </c>
      <c r="E4">
        <v>39756</v>
      </c>
      <c r="F4">
        <v>8.6199999999999992</v>
      </c>
      <c r="G4">
        <v>8.35</v>
      </c>
      <c r="H4" s="3">
        <f t="shared" si="0"/>
        <v>0.96867749419953597</v>
      </c>
      <c r="I4" t="s">
        <v>18</v>
      </c>
      <c r="J4" s="3"/>
      <c r="M4">
        <f>G4*0.6</f>
        <v>5.01</v>
      </c>
      <c r="N4" s="3">
        <f>1/(SQRT(2/(D4*SQRT(3)))*SQRT(3))*((2*3.14159265358979*M4)/360)</f>
        <v>11.095114405279576</v>
      </c>
      <c r="O4" s="3">
        <f>1/(SQRT(2/(E4*SQRT(3)))*SQRT(3))*((2*3.14159265358979*M4)/360)</f>
        <v>9.3674443756429415</v>
      </c>
    </row>
    <row r="5" spans="1:15">
      <c r="A5" s="6" t="s">
        <v>6</v>
      </c>
      <c r="B5" t="s">
        <v>7</v>
      </c>
      <c r="C5" t="s">
        <v>5</v>
      </c>
      <c r="F5">
        <v>8.06</v>
      </c>
      <c r="G5">
        <v>8.36</v>
      </c>
      <c r="H5" s="3">
        <f t="shared" si="0"/>
        <v>1.0372208436724564</v>
      </c>
      <c r="I5" t="s">
        <v>18</v>
      </c>
      <c r="K5" s="3"/>
    </row>
    <row r="6" spans="1:15">
      <c r="A6" s="6" t="s">
        <v>8</v>
      </c>
      <c r="B6" t="s">
        <v>7</v>
      </c>
      <c r="C6" t="s">
        <v>5</v>
      </c>
      <c r="D6">
        <v>59977</v>
      </c>
      <c r="E6">
        <v>31246</v>
      </c>
      <c r="F6">
        <v>8.39</v>
      </c>
      <c r="G6">
        <v>8.01</v>
      </c>
      <c r="H6" s="3">
        <f t="shared" si="0"/>
        <v>0.95470798569725857</v>
      </c>
      <c r="I6" t="s">
        <v>18</v>
      </c>
      <c r="J6" s="3"/>
      <c r="M6">
        <f>G6*0.6</f>
        <v>4.806</v>
      </c>
      <c r="N6" s="3">
        <f>1/(SQRT(2/(D6*SQRT(3)))*SQRT(3))*((2*3.14159265358979*M6)/360)</f>
        <v>11.037181695080257</v>
      </c>
      <c r="O6" s="3">
        <f>1/(SQRT(2/(E6*SQRT(3)))*SQRT(3))*((2*3.14159265358979*M6)/360)</f>
        <v>7.9664170194877899</v>
      </c>
    </row>
    <row r="7" spans="1:15">
      <c r="A7" s="6" t="s">
        <v>2</v>
      </c>
      <c r="B7" t="s">
        <v>4</v>
      </c>
      <c r="C7" t="s">
        <v>5</v>
      </c>
      <c r="D7">
        <v>57349</v>
      </c>
      <c r="E7">
        <v>49521</v>
      </c>
      <c r="F7">
        <v>8.39</v>
      </c>
      <c r="G7">
        <v>8.0399999999999991</v>
      </c>
      <c r="H7" s="3">
        <f t="shared" si="0"/>
        <v>0.95828367103694856</v>
      </c>
      <c r="I7" t="s">
        <v>18</v>
      </c>
      <c r="J7" s="3"/>
      <c r="M7">
        <f>G7*0.6</f>
        <v>4.823999999999999</v>
      </c>
      <c r="N7" s="3">
        <f>1/(SQRT(2/(D7*SQRT(3)))*SQRT(3))*((2*3.14159265358979*M7)/360)</f>
        <v>10.833088221934194</v>
      </c>
      <c r="O7" s="3">
        <f>1/(SQRT(2/(E7*SQRT(3)))*SQRT(3))*((2*3.14159265358979*M7)/360)</f>
        <v>10.066628883841558</v>
      </c>
    </row>
    <row r="8" spans="1:15">
      <c r="A8" s="6" t="s">
        <v>2</v>
      </c>
      <c r="B8" t="s">
        <v>7</v>
      </c>
      <c r="C8" t="s">
        <v>5</v>
      </c>
      <c r="F8">
        <v>8.43</v>
      </c>
      <c r="G8">
        <v>8.52</v>
      </c>
      <c r="H8" s="3">
        <f t="shared" si="0"/>
        <v>1.01067615658363</v>
      </c>
      <c r="I8" t="s">
        <v>18</v>
      </c>
    </row>
    <row r="9" spans="1:15">
      <c r="A9" s="6">
        <v>982</v>
      </c>
      <c r="B9" t="s">
        <v>7</v>
      </c>
      <c r="C9" t="s">
        <v>12</v>
      </c>
      <c r="D9">
        <v>59726</v>
      </c>
      <c r="E9">
        <v>39754</v>
      </c>
      <c r="F9">
        <v>8.39</v>
      </c>
      <c r="G9">
        <v>6.82</v>
      </c>
      <c r="H9" s="3">
        <f t="shared" si="0"/>
        <v>0.81287246722288431</v>
      </c>
      <c r="I9" t="s">
        <v>18</v>
      </c>
      <c r="M9">
        <f>G9*0.6</f>
        <v>4.0919999999999996</v>
      </c>
      <c r="N9" s="3">
        <f>1/(SQRT(2/(D9*SQRT(3)))*SQRT(3))*((2*3.14159265358979*M9)/360)</f>
        <v>9.3777660936969927</v>
      </c>
      <c r="O9" s="3">
        <f>1/(SQRT(2/(E9*SQRT(3)))*SQRT(3))*((2*3.14159265358979*M9)/360)</f>
        <v>7.6508219964075366</v>
      </c>
    </row>
    <row r="10" spans="1:15">
      <c r="A10" s="6">
        <v>982</v>
      </c>
      <c r="B10" t="s">
        <v>4</v>
      </c>
      <c r="C10" t="s">
        <v>12</v>
      </c>
      <c r="F10">
        <v>8.19</v>
      </c>
      <c r="G10">
        <v>6.54</v>
      </c>
      <c r="H10" s="3">
        <f t="shared" si="0"/>
        <v>0.79853479853479858</v>
      </c>
      <c r="I10" t="s">
        <v>18</v>
      </c>
    </row>
    <row r="11" spans="1:15">
      <c r="A11" s="6">
        <v>1201</v>
      </c>
      <c r="B11" t="s">
        <v>7</v>
      </c>
      <c r="C11" t="s">
        <v>12</v>
      </c>
      <c r="F11">
        <v>8.2799999999999994</v>
      </c>
      <c r="G11">
        <v>6.51</v>
      </c>
      <c r="H11" s="3">
        <f t="shared" si="0"/>
        <v>0.78623188405797106</v>
      </c>
      <c r="I11" t="s">
        <v>18</v>
      </c>
    </row>
    <row r="12" spans="1:15">
      <c r="A12" s="6">
        <v>1201</v>
      </c>
      <c r="B12" t="s">
        <v>4</v>
      </c>
      <c r="C12" t="s">
        <v>12</v>
      </c>
      <c r="F12">
        <v>8.5500000000000007</v>
      </c>
      <c r="G12">
        <v>6.3</v>
      </c>
      <c r="H12" s="3">
        <f t="shared" si="0"/>
        <v>0.73684210526315785</v>
      </c>
      <c r="I12" t="s">
        <v>18</v>
      </c>
    </row>
    <row r="13" spans="1:15">
      <c r="A13" s="6">
        <v>1401</v>
      </c>
      <c r="B13" t="s">
        <v>4</v>
      </c>
      <c r="C13" t="s">
        <v>12</v>
      </c>
      <c r="F13">
        <v>8.58</v>
      </c>
      <c r="G13">
        <v>6.98</v>
      </c>
      <c r="H13" s="3">
        <f t="shared" si="0"/>
        <v>0.81351981351981362</v>
      </c>
      <c r="I13" t="s">
        <v>18</v>
      </c>
    </row>
    <row r="14" spans="1:15">
      <c r="A14" s="6">
        <v>1402</v>
      </c>
      <c r="B14" t="s">
        <v>7</v>
      </c>
      <c r="C14" t="s">
        <v>12</v>
      </c>
      <c r="F14">
        <v>8.7100000000000009</v>
      </c>
      <c r="G14">
        <v>6.73</v>
      </c>
      <c r="H14" s="3">
        <f t="shared" si="0"/>
        <v>0.7726750861079219</v>
      </c>
      <c r="I14" t="s">
        <v>18</v>
      </c>
    </row>
    <row r="15" spans="1:15">
      <c r="A15" s="6">
        <v>1402</v>
      </c>
      <c r="B15" t="s">
        <v>4</v>
      </c>
      <c r="C15" t="s">
        <v>12</v>
      </c>
      <c r="F15">
        <v>8.65</v>
      </c>
      <c r="G15">
        <v>7.1</v>
      </c>
      <c r="H15" s="3">
        <f t="shared" si="0"/>
        <v>0.82080924855491322</v>
      </c>
      <c r="I15" t="s">
        <v>18</v>
      </c>
    </row>
    <row r="16" spans="1:15">
      <c r="A16" s="6" t="s">
        <v>55</v>
      </c>
      <c r="B16" t="s">
        <v>7</v>
      </c>
      <c r="C16" t="s">
        <v>12</v>
      </c>
      <c r="F16">
        <v>8.48</v>
      </c>
      <c r="G16">
        <v>6.76</v>
      </c>
      <c r="H16" s="3">
        <f t="shared" si="0"/>
        <v>0.79716981132075471</v>
      </c>
      <c r="I16" t="s">
        <v>18</v>
      </c>
    </row>
    <row r="17" spans="1:15">
      <c r="A17" s="6" t="s">
        <v>55</v>
      </c>
      <c r="B17" t="s">
        <v>4</v>
      </c>
      <c r="C17" t="s">
        <v>12</v>
      </c>
      <c r="F17">
        <v>8.3699999999999992</v>
      </c>
      <c r="G17">
        <v>6.89</v>
      </c>
      <c r="H17" s="3">
        <f t="shared" si="0"/>
        <v>0.82317801672640389</v>
      </c>
      <c r="I17" t="s">
        <v>18</v>
      </c>
    </row>
    <row r="18" spans="1:15">
      <c r="A18" s="6" t="s">
        <v>13</v>
      </c>
      <c r="B18" t="s">
        <v>4</v>
      </c>
      <c r="C18" t="s">
        <v>12</v>
      </c>
      <c r="D18">
        <v>52329</v>
      </c>
      <c r="E18">
        <v>36471</v>
      </c>
      <c r="F18">
        <v>8.6300000000000008</v>
      </c>
      <c r="G18">
        <v>7</v>
      </c>
      <c r="H18" s="3">
        <f t="shared" si="0"/>
        <v>0.81112398609501735</v>
      </c>
      <c r="I18" t="s">
        <v>18</v>
      </c>
      <c r="M18">
        <f>G18*0.6</f>
        <v>4.2</v>
      </c>
      <c r="N18" s="3">
        <f>1/(SQRT(2/(D18*SQRT(3)))*SQRT(3))*((2*3.14159265358979*M18)/360)</f>
        <v>9.0095388892294181</v>
      </c>
      <c r="O18" s="3">
        <f>1/(SQRT(2/(E18*SQRT(3)))*SQRT(3))*((2*3.14159265358979*M18)/360)</f>
        <v>7.5215125102033591</v>
      </c>
    </row>
    <row r="19" spans="1:15">
      <c r="A19" s="6" t="s">
        <v>13</v>
      </c>
      <c r="B19" t="s">
        <v>7</v>
      </c>
      <c r="C19" t="s">
        <v>12</v>
      </c>
      <c r="F19">
        <v>8.7200000000000006</v>
      </c>
      <c r="G19">
        <v>6.98</v>
      </c>
      <c r="H19" s="3">
        <f t="shared" si="0"/>
        <v>0.80045871559633031</v>
      </c>
      <c r="I19" t="s">
        <v>18</v>
      </c>
    </row>
    <row r="20" spans="1:15">
      <c r="A20" s="6">
        <v>101</v>
      </c>
      <c r="B20" t="s">
        <v>4</v>
      </c>
      <c r="C20" t="s">
        <v>11</v>
      </c>
      <c r="D20">
        <v>72856</v>
      </c>
      <c r="E20">
        <v>55478</v>
      </c>
      <c r="F20">
        <v>8.7200000000000006</v>
      </c>
      <c r="G20">
        <v>7.09</v>
      </c>
      <c r="H20" s="3">
        <f t="shared" si="0"/>
        <v>0.81307339449541272</v>
      </c>
      <c r="I20" t="s">
        <v>18</v>
      </c>
      <c r="M20">
        <f>G20*0.6</f>
        <v>4.2539999999999996</v>
      </c>
      <c r="N20" s="3">
        <f>1/(SQRT(2/(D20*SQRT(3)))*SQRT(3))*((2*3.14159265358979*M20)/360)</f>
        <v>10.767433628989275</v>
      </c>
      <c r="O20" s="3">
        <f>1/(SQRT(2/(E20*SQRT(3)))*SQRT(3))*((2*3.14159265358979*M20)/360)</f>
        <v>9.395933616270419</v>
      </c>
    </row>
    <row r="21" spans="1:15">
      <c r="A21" s="6">
        <v>981</v>
      </c>
      <c r="B21" t="s">
        <v>7</v>
      </c>
      <c r="C21" t="s">
        <v>11</v>
      </c>
      <c r="D21">
        <v>68261</v>
      </c>
      <c r="E21">
        <v>43401</v>
      </c>
      <c r="F21">
        <v>8.77</v>
      </c>
      <c r="G21">
        <v>7.12</v>
      </c>
      <c r="H21" s="3">
        <f t="shared" si="0"/>
        <v>0.81185860889395667</v>
      </c>
      <c r="I21" t="s">
        <v>18</v>
      </c>
      <c r="M21">
        <f>G21*0.6</f>
        <v>4.2720000000000002</v>
      </c>
      <c r="N21" s="3">
        <f>1/(SQRT(2/(D21*SQRT(3)))*SQRT(3))*((2*3.14159265358979*M21)/360)</f>
        <v>10.466455305297888</v>
      </c>
      <c r="O21" s="3">
        <f>1/(SQRT(2/(E21*SQRT(3)))*SQRT(3))*((2*3.14159265358979*M21)/360)</f>
        <v>8.3457076668531815</v>
      </c>
    </row>
    <row r="22" spans="1:15">
      <c r="A22" s="6">
        <v>981</v>
      </c>
      <c r="B22" t="s">
        <v>4</v>
      </c>
      <c r="C22" t="s">
        <v>11</v>
      </c>
      <c r="F22">
        <v>8.7899999999999991</v>
      </c>
      <c r="G22">
        <v>7.3</v>
      </c>
      <c r="H22" s="3">
        <f t="shared" si="0"/>
        <v>0.83048919226393636</v>
      </c>
      <c r="I22" t="s">
        <v>18</v>
      </c>
    </row>
    <row r="23" spans="1:15">
      <c r="A23" s="6">
        <v>1301</v>
      </c>
      <c r="B23" t="s">
        <v>4</v>
      </c>
      <c r="C23" t="s">
        <v>11</v>
      </c>
      <c r="D23">
        <v>50169</v>
      </c>
      <c r="E23">
        <v>36652</v>
      </c>
      <c r="F23">
        <v>8.65</v>
      </c>
      <c r="G23">
        <v>7.15</v>
      </c>
      <c r="H23" s="3">
        <f t="shared" si="0"/>
        <v>0.82658959537572252</v>
      </c>
      <c r="I23" t="s">
        <v>18</v>
      </c>
      <c r="M23">
        <f>G23*0.6</f>
        <v>4.29</v>
      </c>
      <c r="N23" s="3">
        <f>1/(SQRT(2/(D23*SQRT(3)))*SQRT(3))*((2*3.14159265358979*M23)/360)</f>
        <v>9.0106697053599927</v>
      </c>
      <c r="O23" s="3">
        <f>1/(SQRT(2/(E23*SQRT(3)))*SQRT(3))*((2*3.14159265358979*M23)/360)</f>
        <v>7.701728186597645</v>
      </c>
    </row>
    <row r="24" spans="1:15">
      <c r="A24" s="6">
        <v>1301</v>
      </c>
      <c r="B24" t="s">
        <v>7</v>
      </c>
      <c r="C24" t="s">
        <v>11</v>
      </c>
      <c r="F24">
        <v>8.57</v>
      </c>
      <c r="G24">
        <v>7.02</v>
      </c>
      <c r="H24" s="3">
        <f t="shared" si="0"/>
        <v>0.81913652275379223</v>
      </c>
      <c r="I24" t="s">
        <v>18</v>
      </c>
    </row>
    <row r="25" spans="1:15">
      <c r="A25" s="6">
        <v>1401</v>
      </c>
      <c r="B25" t="s">
        <v>4</v>
      </c>
      <c r="C25" t="s">
        <v>11</v>
      </c>
      <c r="F25">
        <v>8.8800000000000008</v>
      </c>
      <c r="G25">
        <v>7.31</v>
      </c>
      <c r="H25" s="3">
        <f t="shared" si="0"/>
        <v>0.82319819819819806</v>
      </c>
      <c r="I25" t="s">
        <v>18</v>
      </c>
    </row>
    <row r="26" spans="1:15">
      <c r="A26" s="6" t="s">
        <v>56</v>
      </c>
      <c r="B26" t="s">
        <v>7</v>
      </c>
      <c r="C26" t="s">
        <v>11</v>
      </c>
      <c r="F26">
        <v>8.82</v>
      </c>
      <c r="G26">
        <v>7.19</v>
      </c>
      <c r="H26" s="3">
        <f t="shared" si="0"/>
        <v>0.81519274376417239</v>
      </c>
      <c r="I26" t="s">
        <v>18</v>
      </c>
    </row>
    <row r="27" spans="1:15">
      <c r="A27" s="6" t="s">
        <v>56</v>
      </c>
      <c r="B27" t="s">
        <v>4</v>
      </c>
      <c r="C27" t="s">
        <v>11</v>
      </c>
      <c r="F27">
        <v>8.77</v>
      </c>
      <c r="G27">
        <v>6.84</v>
      </c>
      <c r="H27" s="3">
        <f t="shared" si="0"/>
        <v>0.77993158494868875</v>
      </c>
      <c r="I27" t="s">
        <v>18</v>
      </c>
    </row>
    <row r="28" spans="1:15">
      <c r="H28" s="3"/>
    </row>
    <row r="29" spans="1:15">
      <c r="C29" t="s">
        <v>15</v>
      </c>
      <c r="F29">
        <v>23.5</v>
      </c>
      <c r="G29">
        <v>23.5</v>
      </c>
      <c r="H29" s="3">
        <f t="shared" ref="H29:H56" si="1">G29/F29</f>
        <v>1</v>
      </c>
      <c r="I29" t="s">
        <v>19</v>
      </c>
    </row>
    <row r="30" spans="1:15">
      <c r="C30" t="s">
        <v>16</v>
      </c>
      <c r="F30">
        <v>32.25</v>
      </c>
      <c r="G30">
        <v>34.700000000000003</v>
      </c>
      <c r="H30" s="3">
        <f t="shared" si="1"/>
        <v>1.0759689922480622</v>
      </c>
      <c r="I30" t="s">
        <v>20</v>
      </c>
      <c r="N30" s="8" t="s">
        <v>98</v>
      </c>
    </row>
    <row r="31" spans="1:15">
      <c r="C31" t="s">
        <v>22</v>
      </c>
      <c r="F31">
        <v>6.42</v>
      </c>
      <c r="G31">
        <v>4.88</v>
      </c>
      <c r="H31" s="3">
        <f t="shared" si="1"/>
        <v>0.76012461059190028</v>
      </c>
      <c r="I31" t="s">
        <v>50</v>
      </c>
      <c r="J31">
        <v>46</v>
      </c>
      <c r="K31">
        <v>45</v>
      </c>
      <c r="L31" t="s">
        <v>23</v>
      </c>
      <c r="N31" s="7">
        <f>K31/J31</f>
        <v>0.97826086956521741</v>
      </c>
    </row>
    <row r="32" spans="1:15">
      <c r="C32" t="s">
        <v>24</v>
      </c>
      <c r="F32" s="1">
        <v>13.01</v>
      </c>
      <c r="G32" s="1">
        <v>9.5</v>
      </c>
      <c r="H32" s="3">
        <f t="shared" si="1"/>
        <v>0.73020753266717908</v>
      </c>
      <c r="I32" t="s">
        <v>51</v>
      </c>
      <c r="N32" s="7"/>
    </row>
    <row r="33" spans="3:14">
      <c r="C33" t="s">
        <v>25</v>
      </c>
      <c r="F33">
        <v>9.26</v>
      </c>
      <c r="G33">
        <v>7.21</v>
      </c>
      <c r="H33" s="3">
        <f t="shared" si="1"/>
        <v>0.77861771058315332</v>
      </c>
      <c r="I33" t="s">
        <v>51</v>
      </c>
      <c r="N33" s="7"/>
    </row>
    <row r="34" spans="3:14">
      <c r="C34" t="s">
        <v>26</v>
      </c>
      <c r="F34" s="1">
        <v>14.01</v>
      </c>
      <c r="G34" s="1">
        <v>10.67</v>
      </c>
      <c r="H34" s="3">
        <f t="shared" si="1"/>
        <v>0.76159885795860105</v>
      </c>
      <c r="I34" t="s">
        <v>51</v>
      </c>
      <c r="N34" s="7"/>
    </row>
    <row r="35" spans="3:14">
      <c r="C35" t="s">
        <v>27</v>
      </c>
      <c r="F35" s="1">
        <v>12.34</v>
      </c>
      <c r="G35" s="1">
        <v>9.33</v>
      </c>
      <c r="H35" s="3">
        <f t="shared" si="1"/>
        <v>0.7560777957860616</v>
      </c>
      <c r="I35" t="s">
        <v>51</v>
      </c>
      <c r="N35" s="7"/>
    </row>
    <row r="36" spans="3:14">
      <c r="C36" t="s">
        <v>28</v>
      </c>
      <c r="F36" s="1">
        <v>10.47</v>
      </c>
      <c r="G36" s="1">
        <v>8.06</v>
      </c>
      <c r="H36" s="3">
        <f t="shared" si="1"/>
        <v>0.76981852913085003</v>
      </c>
      <c r="I36" t="s">
        <v>51</v>
      </c>
      <c r="N36" s="7"/>
    </row>
    <row r="37" spans="3:14">
      <c r="C37" t="s">
        <v>29</v>
      </c>
      <c r="F37">
        <v>8.15</v>
      </c>
      <c r="G37">
        <v>6.44</v>
      </c>
      <c r="H37" s="3">
        <f t="shared" si="1"/>
        <v>0.79018404907975459</v>
      </c>
      <c r="I37" t="s">
        <v>51</v>
      </c>
      <c r="N37" s="7"/>
    </row>
    <row r="38" spans="3:14">
      <c r="C38" t="s">
        <v>30</v>
      </c>
      <c r="F38">
        <v>6.95</v>
      </c>
      <c r="G38">
        <v>5.19</v>
      </c>
      <c r="H38" s="3">
        <f t="shared" si="1"/>
        <v>0.74676258992805755</v>
      </c>
      <c r="I38" t="s">
        <v>31</v>
      </c>
      <c r="J38">
        <v>51</v>
      </c>
      <c r="K38">
        <v>57</v>
      </c>
      <c r="L38" t="s">
        <v>31</v>
      </c>
      <c r="N38" s="7">
        <f>K38/J38</f>
        <v>1.1176470588235294</v>
      </c>
    </row>
    <row r="39" spans="3:14">
      <c r="C39" t="s">
        <v>32</v>
      </c>
      <c r="F39">
        <v>8.8000000000000007</v>
      </c>
      <c r="G39">
        <v>6.6</v>
      </c>
      <c r="H39" s="3">
        <f t="shared" si="1"/>
        <v>0.74999999999999989</v>
      </c>
      <c r="I39" t="s">
        <v>31</v>
      </c>
      <c r="J39">
        <v>53</v>
      </c>
      <c r="K39">
        <v>41</v>
      </c>
      <c r="L39" t="s">
        <v>31</v>
      </c>
      <c r="N39" s="7">
        <f>K39/J39</f>
        <v>0.77358490566037741</v>
      </c>
    </row>
    <row r="40" spans="3:14">
      <c r="C40" t="s">
        <v>33</v>
      </c>
      <c r="F40">
        <v>8.27</v>
      </c>
      <c r="G40">
        <v>6.41</v>
      </c>
      <c r="H40" s="3">
        <f t="shared" si="1"/>
        <v>0.77509068923821045</v>
      </c>
      <c r="I40" t="s">
        <v>31</v>
      </c>
      <c r="J40">
        <v>37</v>
      </c>
      <c r="K40">
        <v>46</v>
      </c>
      <c r="L40" t="s">
        <v>31</v>
      </c>
      <c r="N40" s="7">
        <f>K40/J40</f>
        <v>1.2432432432432432</v>
      </c>
    </row>
    <row r="41" spans="3:14">
      <c r="C41" t="s">
        <v>34</v>
      </c>
      <c r="F41" s="1">
        <v>12.17</v>
      </c>
      <c r="G41" s="1">
        <v>9.16</v>
      </c>
      <c r="H41" s="3">
        <f t="shared" si="1"/>
        <v>0.75267050123253909</v>
      </c>
      <c r="I41" t="s">
        <v>51</v>
      </c>
      <c r="N41" s="7"/>
    </row>
    <row r="42" spans="3:14">
      <c r="C42" t="s">
        <v>35</v>
      </c>
      <c r="F42">
        <v>13.38</v>
      </c>
      <c r="G42">
        <v>11.5</v>
      </c>
      <c r="H42" s="3">
        <f t="shared" si="1"/>
        <v>0.85949177877428995</v>
      </c>
      <c r="I42" t="s">
        <v>51</v>
      </c>
      <c r="N42" s="7"/>
    </row>
    <row r="43" spans="3:14">
      <c r="C43" t="s">
        <v>36</v>
      </c>
      <c r="F43" s="1">
        <v>12.36</v>
      </c>
      <c r="G43">
        <v>10.15</v>
      </c>
      <c r="H43" s="3">
        <f t="shared" si="1"/>
        <v>0.82119741100323629</v>
      </c>
      <c r="I43" t="s">
        <v>37</v>
      </c>
      <c r="J43">
        <v>24</v>
      </c>
      <c r="K43">
        <v>33</v>
      </c>
      <c r="L43" t="s">
        <v>37</v>
      </c>
      <c r="N43" s="7">
        <f>K43/J43</f>
        <v>1.375</v>
      </c>
    </row>
    <row r="44" spans="3:14">
      <c r="C44" t="s">
        <v>38</v>
      </c>
      <c r="F44">
        <v>10.31</v>
      </c>
      <c r="G44">
        <v>7.96</v>
      </c>
      <c r="H44" s="3">
        <f t="shared" si="1"/>
        <v>0.77206595538312317</v>
      </c>
      <c r="I44" t="s">
        <v>51</v>
      </c>
      <c r="J44">
        <v>26</v>
      </c>
      <c r="K44">
        <v>64</v>
      </c>
      <c r="L44" t="s">
        <v>74</v>
      </c>
      <c r="N44" s="7">
        <f>K44/J44</f>
        <v>2.4615384615384617</v>
      </c>
    </row>
    <row r="45" spans="3:14">
      <c r="C45" t="s">
        <v>39</v>
      </c>
      <c r="F45" s="1">
        <v>6.98</v>
      </c>
      <c r="G45" s="1">
        <v>5.63</v>
      </c>
      <c r="H45" s="3">
        <f t="shared" si="1"/>
        <v>0.8065902578796561</v>
      </c>
      <c r="I45" t="s">
        <v>40</v>
      </c>
      <c r="J45">
        <v>43</v>
      </c>
      <c r="K45">
        <v>46</v>
      </c>
      <c r="L45" t="s">
        <v>40</v>
      </c>
      <c r="N45" s="7">
        <f>K45/J45</f>
        <v>1.069767441860465</v>
      </c>
    </row>
    <row r="46" spans="3:14">
      <c r="C46" t="s">
        <v>41</v>
      </c>
      <c r="F46" s="1">
        <v>10.8</v>
      </c>
      <c r="G46" s="1">
        <v>7.77</v>
      </c>
      <c r="H46" s="3">
        <f t="shared" si="1"/>
        <v>0.71944444444444433</v>
      </c>
      <c r="I46" t="s">
        <v>51</v>
      </c>
      <c r="N46" s="7"/>
    </row>
    <row r="47" spans="3:14">
      <c r="C47" t="s">
        <v>42</v>
      </c>
      <c r="F47" s="1">
        <v>7.12</v>
      </c>
      <c r="G47" s="1">
        <v>5.58</v>
      </c>
      <c r="H47" s="3">
        <f t="shared" si="1"/>
        <v>0.7837078651685393</v>
      </c>
      <c r="I47" t="s">
        <v>51</v>
      </c>
      <c r="N47" s="7"/>
    </row>
    <row r="48" spans="3:14">
      <c r="C48" t="s">
        <v>43</v>
      </c>
      <c r="F48" s="1">
        <v>7.54</v>
      </c>
      <c r="G48" s="1">
        <v>5.49</v>
      </c>
      <c r="H48" s="3">
        <f t="shared" si="1"/>
        <v>0.72811671087533159</v>
      </c>
      <c r="I48" t="s">
        <v>51</v>
      </c>
      <c r="N48" s="7"/>
    </row>
    <row r="49" spans="3:14">
      <c r="C49" t="s">
        <v>45</v>
      </c>
      <c r="F49" s="1">
        <v>6.89</v>
      </c>
      <c r="G49" s="1">
        <v>5.37</v>
      </c>
      <c r="H49" s="3">
        <f t="shared" si="1"/>
        <v>0.77939042089985489</v>
      </c>
      <c r="I49" t="s">
        <v>40</v>
      </c>
      <c r="J49">
        <v>44</v>
      </c>
      <c r="K49">
        <v>42</v>
      </c>
      <c r="L49" t="s">
        <v>40</v>
      </c>
      <c r="N49" s="7">
        <f>K49/J49</f>
        <v>0.95454545454545459</v>
      </c>
    </row>
    <row r="50" spans="3:14">
      <c r="C50" t="s">
        <v>44</v>
      </c>
      <c r="F50" s="1">
        <v>7.68</v>
      </c>
      <c r="G50" s="1">
        <v>6.08</v>
      </c>
      <c r="H50" s="3">
        <f t="shared" si="1"/>
        <v>0.79166666666666674</v>
      </c>
      <c r="I50" t="s">
        <v>40</v>
      </c>
      <c r="J50">
        <v>43</v>
      </c>
      <c r="K50">
        <v>35</v>
      </c>
      <c r="L50" t="s">
        <v>40</v>
      </c>
      <c r="N50" s="7">
        <f>K50/J50</f>
        <v>0.81395348837209303</v>
      </c>
    </row>
    <row r="51" spans="3:14">
      <c r="C51" t="s">
        <v>46</v>
      </c>
      <c r="F51" s="1">
        <v>8.0299999999999994</v>
      </c>
      <c r="G51" s="1">
        <v>6.23</v>
      </c>
      <c r="H51" s="3">
        <f t="shared" si="1"/>
        <v>0.77584059775840608</v>
      </c>
      <c r="I51" t="s">
        <v>40</v>
      </c>
      <c r="J51">
        <v>39</v>
      </c>
      <c r="K51">
        <v>31</v>
      </c>
      <c r="L51" t="s">
        <v>40</v>
      </c>
      <c r="N51" s="7">
        <f>K51/J51</f>
        <v>0.79487179487179482</v>
      </c>
    </row>
    <row r="52" spans="3:14">
      <c r="C52" t="s">
        <v>47</v>
      </c>
      <c r="F52" s="1">
        <v>9.85</v>
      </c>
      <c r="G52" s="1">
        <v>7.47</v>
      </c>
      <c r="H52" s="3">
        <f t="shared" si="1"/>
        <v>0.75837563451776646</v>
      </c>
      <c r="I52" s="2" t="s">
        <v>51</v>
      </c>
      <c r="N52" s="7"/>
    </row>
    <row r="53" spans="3:14">
      <c r="C53" t="s">
        <v>48</v>
      </c>
      <c r="F53" s="1">
        <v>8.4700000000000006</v>
      </c>
      <c r="G53" s="1">
        <v>6.53</v>
      </c>
      <c r="H53" s="3">
        <f t="shared" si="1"/>
        <v>0.77095631641086182</v>
      </c>
      <c r="I53" t="s">
        <v>40</v>
      </c>
      <c r="J53">
        <v>43</v>
      </c>
      <c r="K53">
        <v>35</v>
      </c>
      <c r="L53" t="s">
        <v>40</v>
      </c>
      <c r="N53" s="7">
        <f>K53/J53</f>
        <v>0.81395348837209303</v>
      </c>
    </row>
    <row r="54" spans="3:14">
      <c r="C54" t="s">
        <v>49</v>
      </c>
      <c r="F54" s="1">
        <v>8.83</v>
      </c>
      <c r="G54" s="1">
        <v>7.13</v>
      </c>
      <c r="H54" s="3">
        <f t="shared" si="1"/>
        <v>0.80747451868629672</v>
      </c>
      <c r="I54" t="s">
        <v>40</v>
      </c>
      <c r="J54">
        <v>41</v>
      </c>
      <c r="K54">
        <v>33</v>
      </c>
      <c r="L54" t="s">
        <v>40</v>
      </c>
      <c r="N54" s="7">
        <f>K54/J54</f>
        <v>0.80487804878048785</v>
      </c>
    </row>
    <row r="55" spans="3:14">
      <c r="C55" t="s">
        <v>52</v>
      </c>
      <c r="F55" s="1">
        <v>7.94</v>
      </c>
      <c r="G55" s="1">
        <v>6.23</v>
      </c>
      <c r="H55" s="3">
        <f t="shared" si="1"/>
        <v>0.7846347607052897</v>
      </c>
      <c r="I55" t="s">
        <v>51</v>
      </c>
      <c r="J55">
        <v>41</v>
      </c>
      <c r="K55">
        <v>28</v>
      </c>
      <c r="L55" t="s">
        <v>76</v>
      </c>
      <c r="N55" s="7">
        <f>K55/J55</f>
        <v>0.68292682926829273</v>
      </c>
    </row>
    <row r="56" spans="3:14">
      <c r="C56" t="s">
        <v>53</v>
      </c>
      <c r="F56" s="1">
        <v>8.75</v>
      </c>
      <c r="G56" s="1">
        <v>6.78</v>
      </c>
      <c r="H56" s="3">
        <f t="shared" si="1"/>
        <v>0.77485714285714291</v>
      </c>
      <c r="I56" t="s">
        <v>51</v>
      </c>
      <c r="N56" s="7"/>
    </row>
    <row r="57" spans="3:14">
      <c r="C57" t="s">
        <v>75</v>
      </c>
      <c r="J57">
        <v>33</v>
      </c>
      <c r="K57">
        <v>33</v>
      </c>
      <c r="L57" t="s">
        <v>40</v>
      </c>
      <c r="N57" s="7">
        <f>K57/J57</f>
        <v>1</v>
      </c>
    </row>
    <row r="58" spans="3:14">
      <c r="C58" t="s">
        <v>77</v>
      </c>
      <c r="J58">
        <v>34</v>
      </c>
      <c r="K58">
        <v>25</v>
      </c>
      <c r="L58" t="s">
        <v>79</v>
      </c>
      <c r="N58" s="7">
        <f>K58/J58</f>
        <v>0.73529411764705888</v>
      </c>
    </row>
    <row r="59" spans="3:14">
      <c r="C59" t="s">
        <v>78</v>
      </c>
      <c r="J59">
        <v>35</v>
      </c>
      <c r="K59">
        <v>38</v>
      </c>
      <c r="L59" t="s">
        <v>79</v>
      </c>
      <c r="N59" s="7">
        <f>K59/J59</f>
        <v>1.0857142857142856</v>
      </c>
    </row>
  </sheetData>
  <sortState ref="A2:O27">
    <sortCondition descending="1" ref="C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B11" sqref="B11"/>
    </sheetView>
  </sheetViews>
  <sheetFormatPr baseColWidth="10" defaultRowHeight="15" x14ac:dyDescent="0"/>
  <cols>
    <col min="1" max="1" width="20" bestFit="1" customWidth="1"/>
    <col min="2" max="2" width="20" customWidth="1"/>
    <col min="3" max="3" width="9.1640625" bestFit="1" customWidth="1"/>
    <col min="4" max="4" width="10.1640625" bestFit="1" customWidth="1"/>
    <col min="5" max="5" width="13.5" bestFit="1" customWidth="1"/>
    <col min="6" max="6" width="11.33203125" bestFit="1" customWidth="1"/>
    <col min="7" max="7" width="12.5" bestFit="1" customWidth="1"/>
    <col min="8" max="8" width="10" bestFit="1" customWidth="1"/>
    <col min="9" max="9" width="11" bestFit="1" customWidth="1"/>
  </cols>
  <sheetData>
    <row r="1" spans="1:15">
      <c r="A1" t="s">
        <v>1</v>
      </c>
      <c r="C1" t="s">
        <v>66</v>
      </c>
      <c r="D1" t="s">
        <v>67</v>
      </c>
      <c r="E1" t="s">
        <v>92</v>
      </c>
      <c r="F1" t="s">
        <v>68</v>
      </c>
      <c r="G1" t="s">
        <v>69</v>
      </c>
      <c r="H1" t="s">
        <v>70</v>
      </c>
      <c r="I1" t="s">
        <v>71</v>
      </c>
    </row>
    <row r="2" spans="1:15">
      <c r="A2" t="s">
        <v>5</v>
      </c>
      <c r="B2" t="s">
        <v>99</v>
      </c>
      <c r="C2" s="4">
        <v>23.03</v>
      </c>
      <c r="D2" s="4">
        <v>53.04</v>
      </c>
      <c r="E2" s="4">
        <f>D2/C2</f>
        <v>2.3030829353017803</v>
      </c>
      <c r="F2" s="4">
        <v>39.42</v>
      </c>
      <c r="G2" s="4">
        <v>68.349999999999994</v>
      </c>
      <c r="H2" s="4">
        <v>0.46</v>
      </c>
      <c r="I2" s="4">
        <v>35.909999999999997</v>
      </c>
      <c r="J2" t="s">
        <v>72</v>
      </c>
      <c r="L2" s="3"/>
      <c r="M2" s="3"/>
      <c r="N2" s="3"/>
      <c r="O2" s="3"/>
    </row>
    <row r="3" spans="1:15">
      <c r="B3" t="s">
        <v>100</v>
      </c>
      <c r="C3" s="4">
        <v>1.58</v>
      </c>
      <c r="D3" s="4">
        <v>4.5</v>
      </c>
      <c r="E3" s="4">
        <v>0.18</v>
      </c>
      <c r="F3" s="4">
        <v>2.46</v>
      </c>
      <c r="G3" s="4">
        <v>1.48</v>
      </c>
      <c r="H3" s="4">
        <v>3.9</v>
      </c>
      <c r="I3" s="4">
        <v>6.24</v>
      </c>
    </row>
    <row r="4" spans="1:15">
      <c r="A4" t="s">
        <v>11</v>
      </c>
      <c r="B4" t="s">
        <v>99</v>
      </c>
      <c r="C4" s="4">
        <v>22.78</v>
      </c>
      <c r="D4" s="4">
        <v>27.89</v>
      </c>
      <c r="E4" s="4">
        <f>D4/C4</f>
        <v>1.2243195785776997</v>
      </c>
      <c r="F4" s="4">
        <v>35.1</v>
      </c>
      <c r="G4" s="4">
        <v>51.26</v>
      </c>
      <c r="H4" s="4">
        <v>4.12</v>
      </c>
      <c r="I4" s="4">
        <v>9.5399999999999991</v>
      </c>
      <c r="J4" t="s">
        <v>80</v>
      </c>
    </row>
    <row r="5" spans="1:15">
      <c r="B5" t="s">
        <v>100</v>
      </c>
      <c r="C5" s="4">
        <v>3.38</v>
      </c>
      <c r="D5" s="4">
        <v>2.67</v>
      </c>
      <c r="E5" s="4">
        <v>0.27</v>
      </c>
      <c r="F5" s="4">
        <v>3.18</v>
      </c>
      <c r="G5" s="4">
        <v>6.18</v>
      </c>
      <c r="H5" s="4">
        <v>0.33</v>
      </c>
      <c r="I5" s="4">
        <v>2.89</v>
      </c>
    </row>
    <row r="6" spans="1:15">
      <c r="A6" t="s">
        <v>12</v>
      </c>
      <c r="B6" t="s">
        <v>99</v>
      </c>
      <c r="C6" s="4">
        <v>25.45</v>
      </c>
      <c r="D6" s="4">
        <v>25.22</v>
      </c>
      <c r="E6" s="4">
        <f>D6/C6</f>
        <v>0.99096267190569742</v>
      </c>
      <c r="F6" s="4">
        <v>51.41</v>
      </c>
      <c r="G6" s="4">
        <v>59.6</v>
      </c>
      <c r="H6" s="4">
        <v>-4.54</v>
      </c>
      <c r="I6" s="4">
        <v>-6.46</v>
      </c>
      <c r="J6" t="s">
        <v>80</v>
      </c>
    </row>
    <row r="7" spans="1:15">
      <c r="B7" t="s">
        <v>100</v>
      </c>
      <c r="C7" s="4">
        <v>4.72</v>
      </c>
      <c r="D7" s="4">
        <v>2.97</v>
      </c>
      <c r="E7" s="4">
        <v>0.35</v>
      </c>
      <c r="F7" s="4"/>
      <c r="G7" s="4"/>
      <c r="H7" s="4"/>
      <c r="I7" s="4"/>
    </row>
    <row r="8" spans="1:15">
      <c r="A8" t="s">
        <v>73</v>
      </c>
      <c r="B8" t="s">
        <v>99</v>
      </c>
      <c r="C8" s="4">
        <f>AVERAGE('Eye-Individuals'!J31:J59)</f>
        <v>39.5625</v>
      </c>
      <c r="D8" s="4">
        <f>AVERAGE('Eye-Individuals'!K31:K59)</f>
        <v>39.5</v>
      </c>
      <c r="E8" s="4">
        <f>D8/C8</f>
        <v>0.99842022116903628</v>
      </c>
      <c r="J8" t="s">
        <v>62</v>
      </c>
      <c r="L8" s="3"/>
      <c r="M8" s="3"/>
      <c r="N8" s="3"/>
      <c r="O8" s="3"/>
    </row>
    <row r="9" spans="1:15">
      <c r="B9" t="s">
        <v>100</v>
      </c>
      <c r="C9" s="4">
        <f>STDEV('Eye-Individuals'!J31:J59)/SQRT(16)</f>
        <v>1.9789912202938142</v>
      </c>
      <c r="D9" s="4">
        <f>STDEV('Eye-Individuals'!K31:K59)/SQRT(16)</f>
        <v>2.5932604959779879</v>
      </c>
      <c r="E9" s="4">
        <v>0.11</v>
      </c>
    </row>
    <row r="10" spans="1:15">
      <c r="A10" t="s">
        <v>81</v>
      </c>
      <c r="B10" t="s">
        <v>99</v>
      </c>
      <c r="C10" s="4">
        <v>24.11</v>
      </c>
      <c r="D10" s="4">
        <v>26.55</v>
      </c>
      <c r="E10" s="4">
        <f>D10/C10</f>
        <v>1.1012028204064703</v>
      </c>
      <c r="F10" s="4">
        <v>39.18</v>
      </c>
      <c r="G10" s="4">
        <v>53.34</v>
      </c>
      <c r="H10" s="4">
        <v>1.96</v>
      </c>
      <c r="I10" s="4">
        <v>5.54</v>
      </c>
      <c r="J10" t="s">
        <v>82</v>
      </c>
      <c r="L10" s="3"/>
      <c r="M10" s="3"/>
      <c r="N10" s="3"/>
      <c r="O10" s="3"/>
    </row>
    <row r="11" spans="1:15">
      <c r="B11" t="s">
        <v>100</v>
      </c>
      <c r="C11" s="4">
        <v>2.66</v>
      </c>
      <c r="D11" s="4">
        <v>1.88</v>
      </c>
      <c r="E11" s="4">
        <v>0.2</v>
      </c>
      <c r="F11" s="4">
        <v>4.66</v>
      </c>
      <c r="G11" s="4">
        <v>4.8499999999999996</v>
      </c>
      <c r="H11" s="4">
        <v>2.1800000000000002</v>
      </c>
      <c r="I11" s="4">
        <v>4.49</v>
      </c>
    </row>
    <row r="12" spans="1:15">
      <c r="A12" t="s">
        <v>83</v>
      </c>
      <c r="B12" t="s">
        <v>99</v>
      </c>
      <c r="C12">
        <v>39</v>
      </c>
      <c r="D12">
        <v>60</v>
      </c>
      <c r="E12" s="4"/>
      <c r="F12">
        <v>41</v>
      </c>
      <c r="G12">
        <v>66</v>
      </c>
      <c r="H12">
        <v>13</v>
      </c>
      <c r="I12">
        <v>43</v>
      </c>
      <c r="J12" t="s">
        <v>88</v>
      </c>
    </row>
    <row r="13" spans="1:15">
      <c r="A13" t="s">
        <v>84</v>
      </c>
      <c r="B13" t="s">
        <v>99</v>
      </c>
      <c r="C13">
        <v>33</v>
      </c>
      <c r="D13">
        <v>82</v>
      </c>
      <c r="E13" s="4"/>
      <c r="F13">
        <v>34</v>
      </c>
      <c r="G13">
        <v>93</v>
      </c>
      <c r="H13">
        <v>17</v>
      </c>
      <c r="I13">
        <v>72</v>
      </c>
      <c r="J13" t="s">
        <v>88</v>
      </c>
    </row>
    <row r="14" spans="1:15">
      <c r="A14" t="s">
        <v>85</v>
      </c>
      <c r="B14" t="s">
        <v>99</v>
      </c>
      <c r="C14">
        <v>20</v>
      </c>
      <c r="D14">
        <v>101</v>
      </c>
      <c r="E14" s="4"/>
      <c r="J14" t="s">
        <v>91</v>
      </c>
    </row>
    <row r="15" spans="1:15">
      <c r="A15" t="s">
        <v>89</v>
      </c>
      <c r="B15" t="s">
        <v>99</v>
      </c>
      <c r="C15">
        <v>47</v>
      </c>
      <c r="D15">
        <v>83</v>
      </c>
      <c r="E15" s="4"/>
      <c r="J15" t="s">
        <v>90</v>
      </c>
    </row>
    <row r="16" spans="1:15">
      <c r="A16" t="s">
        <v>86</v>
      </c>
      <c r="B16" t="s">
        <v>99</v>
      </c>
      <c r="C16">
        <v>33</v>
      </c>
      <c r="D16">
        <v>68</v>
      </c>
      <c r="E16" s="4"/>
      <c r="F16">
        <v>34</v>
      </c>
      <c r="G16">
        <v>71</v>
      </c>
      <c r="H16">
        <v>30</v>
      </c>
      <c r="I16">
        <v>68</v>
      </c>
      <c r="J16" t="s">
        <v>88</v>
      </c>
    </row>
    <row r="17" spans="1:15">
      <c r="A17" t="s">
        <v>57</v>
      </c>
      <c r="B17" t="s">
        <v>99</v>
      </c>
      <c r="C17" s="5">
        <f>AVERAGE(C12:C15)</f>
        <v>34.75</v>
      </c>
      <c r="D17" s="5">
        <f>AVERAGE(D12:D15)</f>
        <v>81.5</v>
      </c>
      <c r="E17" s="4">
        <f>D17/C17</f>
        <v>2.3453237410071943</v>
      </c>
      <c r="F17" s="4">
        <f t="shared" ref="F17:I17" si="0">AVERAGE(F12:F15)</f>
        <v>37.5</v>
      </c>
      <c r="G17" s="4">
        <f t="shared" si="0"/>
        <v>79.5</v>
      </c>
      <c r="H17" s="4">
        <f t="shared" si="0"/>
        <v>15</v>
      </c>
      <c r="I17" s="4">
        <f t="shared" si="0"/>
        <v>57.5</v>
      </c>
      <c r="J17" t="s">
        <v>72</v>
      </c>
      <c r="L17" s="3"/>
      <c r="M17" s="3"/>
      <c r="N17" s="3"/>
      <c r="O17" s="3"/>
    </row>
    <row r="18" spans="1:15">
      <c r="B18" t="s">
        <v>100</v>
      </c>
      <c r="C18" s="5">
        <f>STDEV(C12:C15)/SQRT(4)</f>
        <v>5.691733772176395</v>
      </c>
      <c r="D18" s="5">
        <f>STDEV(D12:D15)/SQRT(4)</f>
        <v>8.3914639167827367</v>
      </c>
      <c r="E18" s="4">
        <v>0.8</v>
      </c>
      <c r="F18" s="4">
        <f>STDEV(F12:F15)/SQRT(2)</f>
        <v>3.4999999999999996</v>
      </c>
      <c r="G18" s="4">
        <f>STDEV(G12:G15)/SQRT(2)</f>
        <v>13.5</v>
      </c>
      <c r="H18" s="4">
        <f>STDEV(H12:H15)/SQRT(2)</f>
        <v>2</v>
      </c>
      <c r="I18" s="4">
        <f>STDEV(I12:I15)/SQRT(2)</f>
        <v>14.499999999999998</v>
      </c>
    </row>
    <row r="19" spans="1:15">
      <c r="A19" t="s">
        <v>58</v>
      </c>
      <c r="B19" t="s">
        <v>99</v>
      </c>
      <c r="C19">
        <f>C16</f>
        <v>33</v>
      </c>
      <c r="D19">
        <f t="shared" ref="D19:I19" si="1">D16</f>
        <v>68</v>
      </c>
      <c r="E19" s="4">
        <f>D19/C19</f>
        <v>2.0606060606060606</v>
      </c>
      <c r="F19">
        <f t="shared" si="1"/>
        <v>34</v>
      </c>
      <c r="G19">
        <f t="shared" si="1"/>
        <v>71</v>
      </c>
      <c r="H19">
        <f t="shared" si="1"/>
        <v>30</v>
      </c>
      <c r="I19">
        <f t="shared" si="1"/>
        <v>68</v>
      </c>
      <c r="J19" t="s">
        <v>87</v>
      </c>
      <c r="L19" s="3"/>
      <c r="M19" s="3"/>
      <c r="N19" s="3"/>
      <c r="O19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Eye-Groups</vt:lpstr>
      <vt:lpstr>Eye-Individuals</vt:lpstr>
      <vt:lpstr>Visual FIeld-Groups</vt:lpstr>
    </vt:vector>
  </TitlesOfParts>
  <Company>University of Wyoming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Tyrrell</dc:creator>
  <cp:lastModifiedBy>Luke Tyrrell</cp:lastModifiedBy>
  <dcterms:created xsi:type="dcterms:W3CDTF">2016-06-29T15:15:07Z</dcterms:created>
  <dcterms:modified xsi:type="dcterms:W3CDTF">2016-12-30T20:06:51Z</dcterms:modified>
</cp:coreProperties>
</file>