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80" yWindow="0" windowWidth="25600" windowHeight="15860" tabRatio="500" activeTab="3"/>
  </bookViews>
  <sheets>
    <sheet name="Fig 1C" sheetId="1" r:id="rId1"/>
    <sheet name="Fig 1D" sheetId="2" r:id="rId2"/>
    <sheet name="Fig 7A" sheetId="3" r:id="rId3"/>
    <sheet name="Fig S4" sheetId="4" r:id="rId4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3" i="1"/>
  <c r="F16"/>
  <c r="H62"/>
  <c r="H61"/>
  <c r="H60"/>
  <c r="H58"/>
  <c r="H57"/>
  <c r="H56"/>
  <c r="H55"/>
  <c r="H53"/>
  <c r="H52"/>
  <c r="H51"/>
  <c r="H50"/>
  <c r="H48"/>
  <c r="H47"/>
  <c r="H46"/>
  <c r="H45"/>
  <c r="H39"/>
  <c r="F15"/>
  <c r="H38"/>
  <c r="H37"/>
  <c r="H36"/>
  <c r="H34"/>
  <c r="H33"/>
  <c r="H32"/>
  <c r="H31"/>
  <c r="H29"/>
  <c r="H28"/>
  <c r="H27"/>
  <c r="H26"/>
  <c r="H24"/>
  <c r="H23"/>
  <c r="H22"/>
  <c r="H21"/>
  <c r="G16"/>
  <c r="G15"/>
  <c r="F17" i="2"/>
  <c r="G17"/>
  <c r="F15"/>
  <c r="G15"/>
  <c r="H68"/>
  <c r="H69"/>
  <c r="H70"/>
  <c r="H71"/>
  <c r="H72"/>
  <c r="H66"/>
  <c r="H65"/>
  <c r="H64"/>
  <c r="H63"/>
  <c r="H62"/>
  <c r="H60"/>
  <c r="H59"/>
  <c r="H58"/>
  <c r="H57"/>
  <c r="H56"/>
  <c r="H50"/>
  <c r="H51"/>
  <c r="H52"/>
  <c r="H53"/>
  <c r="H54"/>
  <c r="H44"/>
  <c r="H43"/>
  <c r="H42"/>
  <c r="H41"/>
  <c r="H40"/>
  <c r="H35"/>
  <c r="H36"/>
  <c r="H37"/>
  <c r="H38"/>
  <c r="H34"/>
  <c r="H29"/>
  <c r="H30"/>
  <c r="H31"/>
  <c r="H32"/>
  <c r="H28"/>
  <c r="H23"/>
  <c r="H24"/>
  <c r="H25"/>
  <c r="H26"/>
  <c r="H22"/>
  <c r="F19" i="3"/>
  <c r="D19"/>
  <c r="G19"/>
  <c r="E15"/>
  <c r="C15"/>
  <c r="F15"/>
  <c r="F20"/>
  <c r="D20"/>
  <c r="G20"/>
  <c r="F21"/>
  <c r="D21"/>
  <c r="G21"/>
  <c r="F22"/>
  <c r="D22"/>
  <c r="G22"/>
  <c r="F23"/>
  <c r="D23"/>
  <c r="G23"/>
  <c r="F25"/>
  <c r="D25"/>
  <c r="G25"/>
  <c r="F26"/>
  <c r="D26"/>
  <c r="G26"/>
  <c r="F27"/>
  <c r="D27"/>
  <c r="G27"/>
  <c r="F28"/>
  <c r="D28"/>
  <c r="G28"/>
  <c r="F29"/>
  <c r="D29"/>
  <c r="G29"/>
  <c r="F31"/>
  <c r="D31"/>
  <c r="G31"/>
  <c r="F32"/>
  <c r="D32"/>
  <c r="G32"/>
  <c r="F33"/>
  <c r="D33"/>
  <c r="G33"/>
  <c r="F34"/>
  <c r="D34"/>
  <c r="G34"/>
  <c r="F35"/>
  <c r="D35"/>
  <c r="G35"/>
  <c r="F37"/>
  <c r="D37"/>
  <c r="G37"/>
  <c r="F38"/>
  <c r="D38"/>
  <c r="G38"/>
  <c r="F39"/>
  <c r="D39"/>
  <c r="G39"/>
  <c r="F40"/>
  <c r="D40"/>
  <c r="G40"/>
  <c r="F41"/>
  <c r="D41"/>
  <c r="G41"/>
  <c r="G82"/>
  <c r="G81"/>
  <c r="G80"/>
  <c r="G79"/>
  <c r="G78"/>
  <c r="G76"/>
  <c r="G75"/>
  <c r="G74"/>
  <c r="G73"/>
  <c r="G72"/>
  <c r="G70"/>
  <c r="G69"/>
  <c r="G68"/>
  <c r="G67"/>
  <c r="G66"/>
  <c r="G64"/>
  <c r="G63"/>
  <c r="G62"/>
  <c r="G61"/>
  <c r="G60"/>
  <c r="G15"/>
  <c r="L67" i="4"/>
  <c r="N67"/>
  <c r="O67"/>
  <c r="L66"/>
  <c r="N66"/>
  <c r="O66"/>
  <c r="L65"/>
  <c r="N65"/>
  <c r="O65"/>
  <c r="L64"/>
  <c r="N64"/>
  <c r="O64"/>
  <c r="L55"/>
  <c r="L61"/>
  <c r="N61"/>
  <c r="O61"/>
  <c r="L60"/>
  <c r="N60"/>
  <c r="O60"/>
  <c r="L59"/>
  <c r="N59"/>
  <c r="O59"/>
  <c r="L58"/>
  <c r="N58"/>
  <c r="O58"/>
  <c r="N55"/>
  <c r="O55"/>
  <c r="L54"/>
  <c r="N54"/>
  <c r="O54"/>
  <c r="L53"/>
  <c r="N53"/>
  <c r="O53"/>
  <c r="L52"/>
  <c r="N52"/>
  <c r="O52"/>
  <c r="D68"/>
  <c r="F68"/>
  <c r="G68"/>
  <c r="D67"/>
  <c r="F67"/>
  <c r="G67"/>
  <c r="D66"/>
  <c r="F66"/>
  <c r="G66"/>
  <c r="D65"/>
  <c r="F65"/>
  <c r="G65"/>
  <c r="D64"/>
  <c r="F64"/>
  <c r="G64"/>
  <c r="F62"/>
  <c r="D62"/>
  <c r="G62"/>
  <c r="F61"/>
  <c r="D61"/>
  <c r="G61"/>
  <c r="F60"/>
  <c r="D60"/>
  <c r="G60"/>
  <c r="F59"/>
  <c r="D59"/>
  <c r="G59"/>
  <c r="F58"/>
  <c r="D58"/>
  <c r="G58"/>
  <c r="F56"/>
  <c r="D56"/>
  <c r="G56"/>
  <c r="F55"/>
  <c r="D55"/>
  <c r="G55"/>
  <c r="F54"/>
  <c r="D54"/>
  <c r="G54"/>
  <c r="F53"/>
  <c r="D53"/>
  <c r="G53"/>
  <c r="F52"/>
  <c r="D52"/>
  <c r="G52"/>
  <c r="D48"/>
  <c r="E48"/>
  <c r="D42"/>
  <c r="D43"/>
  <c r="D44"/>
  <c r="E44"/>
  <c r="O37"/>
  <c r="O36"/>
  <c r="O35"/>
  <c r="O34"/>
  <c r="O33"/>
  <c r="O31"/>
  <c r="O30"/>
  <c r="O29"/>
  <c r="O27"/>
  <c r="O25"/>
  <c r="O24"/>
  <c r="O23"/>
</calcChain>
</file>

<file path=xl/sharedStrings.xml><?xml version="1.0" encoding="utf-8"?>
<sst xmlns="http://schemas.openxmlformats.org/spreadsheetml/2006/main" count="977" uniqueCount="87">
  <si>
    <t>Infection route</t>
  </si>
  <si>
    <t>oral</t>
  </si>
  <si>
    <t># mice/group</t>
  </si>
  <si>
    <t>Inoculum volume (µL)</t>
  </si>
  <si>
    <t>Test strain</t>
  </si>
  <si>
    <t>Kan/Nal/strep/carb</t>
  </si>
  <si>
    <t>Control</t>
  </si>
  <si>
    <t>WT</t>
  </si>
  <si>
    <t>Strep/Nal</t>
  </si>
  <si>
    <t>treatment groups</t>
  </si>
  <si>
    <t>Comp</t>
  </si>
  <si>
    <t>Vector</t>
  </si>
  <si>
    <t>Mutant</t>
  </si>
  <si>
    <t>Total</t>
  </si>
  <si>
    <t>1st antibiotic</t>
  </si>
  <si>
    <t>CFU/mL</t>
  </si>
  <si>
    <t>2nd antibiotic (WT)</t>
  </si>
  <si>
    <t>Total dose</t>
  </si>
  <si>
    <t>C</t>
  </si>
  <si>
    <t>Carb/Strep</t>
  </si>
  <si>
    <t>Strep</t>
  </si>
  <si>
    <t>V</t>
  </si>
  <si>
    <t>Organ</t>
  </si>
  <si>
    <t>1st Abx</t>
  </si>
  <si>
    <t>2nd Abx</t>
  </si>
  <si>
    <t>Cecum</t>
  </si>
  <si>
    <t>M2</t>
  </si>
  <si>
    <t>M3</t>
  </si>
  <si>
    <t>M4</t>
  </si>
  <si>
    <t>M5</t>
  </si>
  <si>
    <t>MLN</t>
  </si>
  <si>
    <t>PP</t>
  </si>
  <si>
    <t>Feces d1</t>
  </si>
  <si>
    <t>M1</t>
  </si>
  <si>
    <t>INOCULUM</t>
  </si>
  <si>
    <t>OUTPUT</t>
  </si>
  <si>
    <t>JE65 (HA420 STM3846::Kan, phoN::strep + pWSK29::STM3846)</t>
  </si>
  <si>
    <t>JE63 (HA420 STM3846::Kan, phoN::strep + pWSK29)</t>
  </si>
  <si>
    <t>JE67 (HA420 phoN::strep)</t>
  </si>
  <si>
    <t>JE65/WT</t>
  </si>
  <si>
    <t>JE63/WT</t>
  </si>
  <si>
    <t>Nal/strep/carb</t>
  </si>
  <si>
    <t>Input</t>
  </si>
  <si>
    <t>Figure 1D</t>
  </si>
  <si>
    <t>Figure 1C</t>
  </si>
  <si>
    <t>JE144 (HA420 msd::frt phoN::strep + pWSK29)</t>
  </si>
  <si>
    <t>JE145 (HA420 msd::frt phoN::strep + pWSK29::retronpro)</t>
  </si>
  <si>
    <t>JE145/WT</t>
  </si>
  <si>
    <t>JE144/WT</t>
  </si>
  <si>
    <t>Figure 7A</t>
  </si>
  <si>
    <t>JE23 (HA420 STM3846::Kan, phoN::strep)</t>
  </si>
  <si>
    <t>Kan/Nal/Strep</t>
  </si>
  <si>
    <t>∆3846∆phoN/∆phoN</t>
  </si>
  <si>
    <t>Kan/Strep</t>
  </si>
  <si>
    <t>JE32/JE67</t>
  </si>
  <si>
    <t>JE25 (HA420 STM3846::Kan, phoN::strep, SPI-1::Cm)</t>
  </si>
  <si>
    <t>Kan/Nal/strep/Cm</t>
  </si>
  <si>
    <t>Strep/Cm</t>
  </si>
  <si>
    <t>JE42 (HA964 (SPI-1::Cm) phoN::strep)</t>
  </si>
  <si>
    <t>JE25/JE42</t>
  </si>
  <si>
    <t>Figure S4</t>
  </si>
  <si>
    <t>Strains</t>
  </si>
  <si>
    <t>Resistance</t>
  </si>
  <si>
    <t>EPEC E2348/69</t>
  </si>
  <si>
    <t>Nal-R</t>
  </si>
  <si>
    <t>EPEC E2348/69 ∆E2348_3890::kan + pWSK29</t>
  </si>
  <si>
    <t>Nal-R, Kan-R, Carb-R</t>
  </si>
  <si>
    <t>EPEC E2348/69 ∆E2348_3890::kan + pWSK29::EPECRT</t>
  </si>
  <si>
    <t>Ratio WT:mutant</t>
  </si>
  <si>
    <t>Nal</t>
  </si>
  <si>
    <t>pWSK29</t>
  </si>
  <si>
    <t>pEPECRT</t>
  </si>
  <si>
    <t>JE301</t>
  </si>
  <si>
    <t>JE472</t>
  </si>
  <si>
    <t>JE470</t>
  </si>
  <si>
    <t>JE301/JE472</t>
  </si>
  <si>
    <t>JE301/JE470</t>
  </si>
  <si>
    <t>SI</t>
  </si>
  <si>
    <t>Contents</t>
  </si>
  <si>
    <t>LI</t>
  </si>
  <si>
    <t>Nal/Kan</t>
  </si>
  <si>
    <t>WT CFU/mL</t>
  </si>
  <si>
    <t>Trial #1</t>
  </si>
  <si>
    <t>Trial #2</t>
  </si>
  <si>
    <t>Ratio WT/mutant</t>
  </si>
  <si>
    <t xml:space="preserve">SI </t>
  </si>
  <si>
    <t xml:space="preserve">LI 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</si>
</sst>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</font>
    <font>
      <b/>
      <sz val="10"/>
      <name val="Verdana"/>
    </font>
    <font>
      <b/>
      <sz val="10"/>
      <color indexed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1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/>
    <xf numFmtId="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11" fontId="0" fillId="0" borderId="0" xfId="0" applyNumberFormat="1" applyFill="1" applyBorder="1"/>
    <xf numFmtId="1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2" xfId="0" applyFont="1" applyBorder="1"/>
    <xf numFmtId="0" fontId="0" fillId="0" borderId="5" xfId="0" applyBorder="1" applyAlignment="1"/>
    <xf numFmtId="0" fontId="8" fillId="0" borderId="0" xfId="0" applyFont="1" applyBorder="1"/>
    <xf numFmtId="11" fontId="8" fillId="0" borderId="0" xfId="0" applyNumberFormat="1" applyFont="1" applyBorder="1"/>
    <xf numFmtId="0" fontId="0" fillId="0" borderId="0" xfId="0" applyBorder="1" applyAlignment="1"/>
    <xf numFmtId="11" fontId="0" fillId="0" borderId="0" xfId="0" applyNumberFormat="1" applyBorder="1"/>
    <xf numFmtId="0" fontId="0" fillId="0" borderId="4" xfId="0" applyBorder="1" applyAlignment="1"/>
    <xf numFmtId="0" fontId="0" fillId="0" borderId="6" xfId="0" applyBorder="1"/>
    <xf numFmtId="0" fontId="0" fillId="0" borderId="7" xfId="0" applyBorder="1"/>
    <xf numFmtId="11" fontId="0" fillId="0" borderId="7" xfId="0" applyNumberFormat="1" applyFill="1" applyBorder="1"/>
    <xf numFmtId="0" fontId="0" fillId="0" borderId="8" xfId="0" applyBorder="1"/>
    <xf numFmtId="11" fontId="0" fillId="0" borderId="7" xfId="0" applyNumberFormat="1" applyBorder="1"/>
    <xf numFmtId="11" fontId="0" fillId="0" borderId="8" xfId="0" applyNumberFormat="1" applyBorder="1"/>
    <xf numFmtId="11" fontId="0" fillId="0" borderId="0" xfId="0" applyNumberFormat="1" applyFont="1"/>
    <xf numFmtId="2" fontId="8" fillId="0" borderId="0" xfId="0" applyNumberFormat="1" applyFont="1"/>
    <xf numFmtId="11" fontId="0" fillId="0" borderId="3" xfId="0" applyNumberFormat="1" applyBorder="1"/>
    <xf numFmtId="11" fontId="0" fillId="0" borderId="4" xfId="0" applyNumberFormat="1" applyBorder="1"/>
    <xf numFmtId="11" fontId="0" fillId="0" borderId="1" xfId="0" applyNumberFormat="1" applyBorder="1"/>
    <xf numFmtId="11" fontId="0" fillId="0" borderId="6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3"/>
  <sheetViews>
    <sheetView workbookViewId="0">
      <selection activeCell="H14" sqref="H14:I16"/>
    </sheetView>
  </sheetViews>
  <sheetFormatPr baseColWidth="10" defaultRowHeight="15"/>
  <sheetData>
    <row r="1" spans="1:9">
      <c r="A1" t="s">
        <v>44</v>
      </c>
    </row>
    <row r="2" spans="1:9">
      <c r="A2" s="1" t="s">
        <v>0</v>
      </c>
      <c r="B2" s="1" t="s">
        <v>1</v>
      </c>
      <c r="C2" s="1"/>
      <c r="D2" s="1"/>
    </row>
    <row r="3" spans="1:9">
      <c r="A3" s="1" t="s">
        <v>2</v>
      </c>
      <c r="B3" s="1">
        <v>4</v>
      </c>
      <c r="C3" s="1"/>
      <c r="D3" s="1"/>
    </row>
    <row r="4" spans="1:9">
      <c r="A4" s="2" t="s">
        <v>3</v>
      </c>
      <c r="B4" s="1">
        <v>100</v>
      </c>
      <c r="C4" s="2"/>
      <c r="D4" s="1"/>
    </row>
    <row r="5" spans="1:9">
      <c r="A5" s="1" t="s">
        <v>4</v>
      </c>
      <c r="B5" s="1" t="s">
        <v>36</v>
      </c>
      <c r="C5" s="1"/>
      <c r="D5" s="1" t="s">
        <v>5</v>
      </c>
    </row>
    <row r="6" spans="1:9">
      <c r="A6" s="1" t="s">
        <v>6</v>
      </c>
      <c r="B6" s="1" t="s">
        <v>37</v>
      </c>
      <c r="C6" s="1"/>
      <c r="D6" s="1"/>
    </row>
    <row r="7" spans="1:9">
      <c r="A7" s="1" t="s">
        <v>7</v>
      </c>
      <c r="B7" s="1" t="s">
        <v>38</v>
      </c>
      <c r="C7" s="1"/>
      <c r="D7" s="1" t="s">
        <v>8</v>
      </c>
    </row>
    <row r="8" spans="1:9">
      <c r="A8" s="1"/>
      <c r="B8" s="1"/>
      <c r="C8" s="1"/>
      <c r="D8" s="1"/>
    </row>
    <row r="9" spans="1:9">
      <c r="A9" s="2" t="s">
        <v>9</v>
      </c>
      <c r="B9" s="1"/>
      <c r="C9" s="1"/>
    </row>
    <row r="10" spans="1:9">
      <c r="A10" s="1" t="s">
        <v>10</v>
      </c>
      <c r="B10" s="1" t="s">
        <v>39</v>
      </c>
      <c r="C10" s="1"/>
    </row>
    <row r="11" spans="1:9">
      <c r="A11" s="1" t="s">
        <v>11</v>
      </c>
      <c r="B11" s="1" t="s">
        <v>40</v>
      </c>
      <c r="C11" s="1"/>
    </row>
    <row r="12" spans="1:9">
      <c r="A12" s="1"/>
      <c r="B12" s="1"/>
      <c r="C12" s="1"/>
    </row>
    <row r="13" spans="1:9">
      <c r="A13" s="1" t="s">
        <v>34</v>
      </c>
      <c r="B13" s="1"/>
      <c r="C13" s="2" t="s">
        <v>12</v>
      </c>
      <c r="E13" t="s">
        <v>13</v>
      </c>
      <c r="F13" s="3" t="s">
        <v>7</v>
      </c>
    </row>
    <row r="14" spans="1:9">
      <c r="B14" s="1" t="s">
        <v>14</v>
      </c>
      <c r="C14" s="1" t="s">
        <v>15</v>
      </c>
      <c r="D14" t="s">
        <v>16</v>
      </c>
      <c r="E14" t="s">
        <v>15</v>
      </c>
      <c r="F14" t="s">
        <v>15</v>
      </c>
      <c r="G14" t="s">
        <v>17</v>
      </c>
      <c r="H14" s="3"/>
    </row>
    <row r="15" spans="1:9">
      <c r="A15" s="1" t="s">
        <v>18</v>
      </c>
      <c r="B15" s="1" t="s">
        <v>19</v>
      </c>
      <c r="C15" s="4">
        <v>1610000000</v>
      </c>
      <c r="D15" t="s">
        <v>20</v>
      </c>
      <c r="E15" s="4">
        <v>2640000000</v>
      </c>
      <c r="F15" s="4">
        <f>E15-C15</f>
        <v>1030000000</v>
      </c>
      <c r="G15" s="4">
        <f>E15/10</f>
        <v>264000000</v>
      </c>
      <c r="I15" s="5"/>
    </row>
    <row r="16" spans="1:9">
      <c r="A16" t="s">
        <v>21</v>
      </c>
      <c r="B16" s="1" t="s">
        <v>19</v>
      </c>
      <c r="C16" s="4">
        <v>2500000000</v>
      </c>
      <c r="D16" t="s">
        <v>20</v>
      </c>
      <c r="E16" s="4">
        <v>4100000000</v>
      </c>
      <c r="F16" s="4">
        <f>E16-C16</f>
        <v>1600000000</v>
      </c>
      <c r="G16" s="4">
        <f>E16/10</f>
        <v>410000000</v>
      </c>
      <c r="I16" s="5"/>
    </row>
    <row r="18" spans="1:8">
      <c r="A18" t="s">
        <v>35</v>
      </c>
    </row>
    <row r="19" spans="1:8">
      <c r="A19" s="6" t="s">
        <v>10</v>
      </c>
      <c r="C19" s="1"/>
      <c r="D19" s="1" t="s">
        <v>12</v>
      </c>
      <c r="E19" s="2" t="s">
        <v>12</v>
      </c>
      <c r="F19" t="s">
        <v>13</v>
      </c>
      <c r="G19" t="s">
        <v>13</v>
      </c>
      <c r="H19" s="3" t="s">
        <v>7</v>
      </c>
    </row>
    <row r="20" spans="1:8">
      <c r="A20" s="2" t="s">
        <v>22</v>
      </c>
      <c r="D20" s="2" t="s">
        <v>23</v>
      </c>
      <c r="E20" s="2" t="s">
        <v>15</v>
      </c>
      <c r="F20" s="3" t="s">
        <v>24</v>
      </c>
      <c r="G20" s="3" t="s">
        <v>15</v>
      </c>
      <c r="H20" s="3" t="s">
        <v>15</v>
      </c>
    </row>
    <row r="21" spans="1:8">
      <c r="A21" t="s">
        <v>25</v>
      </c>
      <c r="B21" t="s">
        <v>26</v>
      </c>
      <c r="C21" s="1" t="s">
        <v>10</v>
      </c>
      <c r="D21" s="1" t="s">
        <v>19</v>
      </c>
      <c r="E21" s="4">
        <v>200000000</v>
      </c>
      <c r="F21" t="s">
        <v>20</v>
      </c>
      <c r="G21" s="4">
        <v>250000000</v>
      </c>
      <c r="H21" s="4">
        <f>G21-E21</f>
        <v>50000000</v>
      </c>
    </row>
    <row r="22" spans="1:8">
      <c r="A22" t="s">
        <v>25</v>
      </c>
      <c r="B22" t="s">
        <v>27</v>
      </c>
      <c r="C22" s="1" t="s">
        <v>10</v>
      </c>
      <c r="D22" s="1" t="s">
        <v>19</v>
      </c>
      <c r="E22" s="4">
        <v>73000000</v>
      </c>
      <c r="F22" t="s">
        <v>20</v>
      </c>
      <c r="G22" s="4">
        <v>82000000</v>
      </c>
      <c r="H22" s="4">
        <f t="shared" ref="H22:H24" si="0">G22-E22</f>
        <v>9000000</v>
      </c>
    </row>
    <row r="23" spans="1:8">
      <c r="A23" t="s">
        <v>25</v>
      </c>
      <c r="B23" t="s">
        <v>28</v>
      </c>
      <c r="C23" s="1" t="s">
        <v>10</v>
      </c>
      <c r="D23" s="1" t="s">
        <v>19</v>
      </c>
      <c r="E23" s="4">
        <v>420000000</v>
      </c>
      <c r="F23" t="s">
        <v>20</v>
      </c>
      <c r="G23" s="4">
        <v>520000000</v>
      </c>
      <c r="H23" s="4">
        <f t="shared" si="0"/>
        <v>100000000</v>
      </c>
    </row>
    <row r="24" spans="1:8">
      <c r="A24" t="s">
        <v>25</v>
      </c>
      <c r="B24" t="s">
        <v>29</v>
      </c>
      <c r="C24" s="1" t="s">
        <v>10</v>
      </c>
      <c r="D24" s="1" t="s">
        <v>19</v>
      </c>
      <c r="E24" s="4">
        <v>400000000</v>
      </c>
      <c r="F24" t="s">
        <v>20</v>
      </c>
      <c r="G24" s="4">
        <v>410000000</v>
      </c>
      <c r="H24" s="4">
        <f t="shared" si="0"/>
        <v>10000000</v>
      </c>
    </row>
    <row r="25" spans="1:8">
      <c r="C25" s="1"/>
      <c r="D25" s="1"/>
      <c r="E25" s="4"/>
      <c r="G25" s="4"/>
    </row>
    <row r="26" spans="1:8">
      <c r="A26" t="s">
        <v>30</v>
      </c>
      <c r="B26" t="s">
        <v>26</v>
      </c>
      <c r="C26" s="1" t="s">
        <v>10</v>
      </c>
      <c r="D26" s="1" t="s">
        <v>19</v>
      </c>
      <c r="E26" s="4">
        <v>212000</v>
      </c>
      <c r="F26" t="s">
        <v>20</v>
      </c>
      <c r="G26" s="4">
        <v>300000</v>
      </c>
      <c r="H26" s="4">
        <f>G26-E26</f>
        <v>88000</v>
      </c>
    </row>
    <row r="27" spans="1:8">
      <c r="A27" t="s">
        <v>30</v>
      </c>
      <c r="B27" t="s">
        <v>27</v>
      </c>
      <c r="C27" s="1" t="s">
        <v>10</v>
      </c>
      <c r="D27" s="1" t="s">
        <v>19</v>
      </c>
      <c r="E27" s="4">
        <v>10600</v>
      </c>
      <c r="F27" t="s">
        <v>20</v>
      </c>
      <c r="G27" s="4">
        <v>22000</v>
      </c>
      <c r="H27" s="4">
        <f t="shared" ref="H27:H29" si="1">G27-E27</f>
        <v>11400</v>
      </c>
    </row>
    <row r="28" spans="1:8">
      <c r="A28" t="s">
        <v>30</v>
      </c>
      <c r="B28" t="s">
        <v>28</v>
      </c>
      <c r="C28" s="1" t="s">
        <v>10</v>
      </c>
      <c r="D28" s="1" t="s">
        <v>19</v>
      </c>
      <c r="E28" s="4">
        <v>82000</v>
      </c>
      <c r="F28" t="s">
        <v>20</v>
      </c>
      <c r="G28" s="4">
        <v>163000</v>
      </c>
      <c r="H28" s="4">
        <f t="shared" si="1"/>
        <v>81000</v>
      </c>
    </row>
    <row r="29" spans="1:8">
      <c r="A29" t="s">
        <v>30</v>
      </c>
      <c r="B29" t="s">
        <v>29</v>
      </c>
      <c r="C29" s="1" t="s">
        <v>10</v>
      </c>
      <c r="D29" s="1" t="s">
        <v>19</v>
      </c>
      <c r="E29" s="4">
        <v>300000</v>
      </c>
      <c r="F29" t="s">
        <v>20</v>
      </c>
      <c r="G29" s="4">
        <v>410000</v>
      </c>
      <c r="H29" s="4">
        <f t="shared" si="1"/>
        <v>110000</v>
      </c>
    </row>
    <row r="30" spans="1:8">
      <c r="E30" s="4"/>
      <c r="G30" s="4"/>
    </row>
    <row r="31" spans="1:8">
      <c r="A31" t="s">
        <v>31</v>
      </c>
      <c r="B31" t="s">
        <v>26</v>
      </c>
      <c r="C31" s="1" t="s">
        <v>10</v>
      </c>
      <c r="D31" s="1" t="s">
        <v>19</v>
      </c>
      <c r="E31" s="4">
        <v>820000</v>
      </c>
      <c r="F31" t="s">
        <v>20</v>
      </c>
      <c r="G31" s="4">
        <v>1230000</v>
      </c>
      <c r="H31" s="4">
        <f>G31-E31</f>
        <v>410000</v>
      </c>
    </row>
    <row r="32" spans="1:8">
      <c r="A32" t="s">
        <v>31</v>
      </c>
      <c r="B32" t="s">
        <v>27</v>
      </c>
      <c r="C32" s="1" t="s">
        <v>10</v>
      </c>
      <c r="D32" s="1" t="s">
        <v>19</v>
      </c>
      <c r="E32" s="4">
        <v>7400</v>
      </c>
      <c r="F32" t="s">
        <v>20</v>
      </c>
      <c r="G32" s="4">
        <v>17000</v>
      </c>
      <c r="H32" s="4">
        <f t="shared" ref="H32:H34" si="2">G32-E32</f>
        <v>9600</v>
      </c>
    </row>
    <row r="33" spans="1:8">
      <c r="A33" t="s">
        <v>31</v>
      </c>
      <c r="B33" t="s">
        <v>28</v>
      </c>
      <c r="C33" s="1" t="s">
        <v>10</v>
      </c>
      <c r="D33" s="1" t="s">
        <v>19</v>
      </c>
      <c r="E33" s="4">
        <v>610000</v>
      </c>
      <c r="F33" t="s">
        <v>20</v>
      </c>
      <c r="G33" s="4">
        <v>670000</v>
      </c>
      <c r="H33" s="4">
        <f t="shared" si="2"/>
        <v>60000</v>
      </c>
    </row>
    <row r="34" spans="1:8">
      <c r="A34" t="s">
        <v>31</v>
      </c>
      <c r="B34" t="s">
        <v>29</v>
      </c>
      <c r="C34" s="1" t="s">
        <v>10</v>
      </c>
      <c r="D34" s="1" t="s">
        <v>19</v>
      </c>
      <c r="E34" s="4">
        <v>1130000</v>
      </c>
      <c r="F34" t="s">
        <v>20</v>
      </c>
      <c r="G34" s="4">
        <v>1190000</v>
      </c>
      <c r="H34" s="4">
        <f t="shared" si="2"/>
        <v>60000</v>
      </c>
    </row>
    <row r="35" spans="1:8">
      <c r="E35" s="4"/>
      <c r="G35" s="4"/>
    </row>
    <row r="36" spans="1:8">
      <c r="A36" t="s">
        <v>32</v>
      </c>
      <c r="B36" t="s">
        <v>26</v>
      </c>
      <c r="C36" s="1" t="s">
        <v>10</v>
      </c>
      <c r="D36" s="1" t="s">
        <v>19</v>
      </c>
      <c r="E36" s="4">
        <v>230000000</v>
      </c>
      <c r="F36" t="s">
        <v>20</v>
      </c>
      <c r="G36" s="4">
        <v>360000000</v>
      </c>
      <c r="H36" s="4">
        <f>G36-E36</f>
        <v>130000000</v>
      </c>
    </row>
    <row r="37" spans="1:8">
      <c r="A37" t="s">
        <v>32</v>
      </c>
      <c r="B37" t="s">
        <v>27</v>
      </c>
      <c r="C37" s="1" t="s">
        <v>10</v>
      </c>
      <c r="D37" s="1" t="s">
        <v>19</v>
      </c>
      <c r="E37" s="4">
        <v>16000000</v>
      </c>
      <c r="F37" t="s">
        <v>20</v>
      </c>
      <c r="G37" s="4">
        <v>87000000</v>
      </c>
      <c r="H37" s="4">
        <f t="shared" ref="H37:H39" si="3">G37-E37</f>
        <v>71000000</v>
      </c>
    </row>
    <row r="38" spans="1:8">
      <c r="A38" t="s">
        <v>32</v>
      </c>
      <c r="B38" t="s">
        <v>28</v>
      </c>
      <c r="C38" s="1" t="s">
        <v>10</v>
      </c>
      <c r="D38" s="1" t="s">
        <v>19</v>
      </c>
      <c r="E38" s="4">
        <v>230000000</v>
      </c>
      <c r="F38" t="s">
        <v>20</v>
      </c>
      <c r="G38" s="4">
        <v>440000000</v>
      </c>
      <c r="H38" s="4">
        <f t="shared" si="3"/>
        <v>210000000</v>
      </c>
    </row>
    <row r="39" spans="1:8">
      <c r="A39" t="s">
        <v>32</v>
      </c>
      <c r="B39" t="s">
        <v>29</v>
      </c>
      <c r="C39" s="1" t="s">
        <v>10</v>
      </c>
      <c r="D39" s="1" t="s">
        <v>19</v>
      </c>
      <c r="E39" s="4">
        <v>104000000</v>
      </c>
      <c r="F39" t="s">
        <v>20</v>
      </c>
      <c r="G39" s="4">
        <v>270000000</v>
      </c>
      <c r="H39" s="4">
        <f t="shared" si="3"/>
        <v>166000000</v>
      </c>
    </row>
    <row r="42" spans="1:8">
      <c r="A42" s="1" t="s">
        <v>35</v>
      </c>
    </row>
    <row r="43" spans="1:8">
      <c r="A43" s="6" t="s">
        <v>11</v>
      </c>
      <c r="C43" s="1"/>
      <c r="D43" s="1" t="s">
        <v>12</v>
      </c>
      <c r="E43" s="2" t="s">
        <v>12</v>
      </c>
      <c r="F43" t="s">
        <v>13</v>
      </c>
      <c r="G43" t="s">
        <v>13</v>
      </c>
      <c r="H43" s="3" t="s">
        <v>7</v>
      </c>
    </row>
    <row r="44" spans="1:8">
      <c r="A44" s="2" t="s">
        <v>22</v>
      </c>
      <c r="D44" s="2" t="s">
        <v>23</v>
      </c>
      <c r="E44" s="2" t="s">
        <v>15</v>
      </c>
      <c r="F44" s="3" t="s">
        <v>24</v>
      </c>
      <c r="G44" s="3" t="s">
        <v>15</v>
      </c>
      <c r="H44" s="3" t="s">
        <v>15</v>
      </c>
    </row>
    <row r="45" spans="1:8">
      <c r="A45" t="s">
        <v>25</v>
      </c>
      <c r="B45" t="s">
        <v>33</v>
      </c>
      <c r="C45" s="1" t="s">
        <v>11</v>
      </c>
      <c r="D45" s="1" t="s">
        <v>19</v>
      </c>
      <c r="E45" s="4">
        <v>96000</v>
      </c>
      <c r="F45" t="s">
        <v>20</v>
      </c>
      <c r="G45" s="4">
        <v>730000</v>
      </c>
      <c r="H45" s="4">
        <f t="shared" ref="H45:H58" si="4">G45-E45</f>
        <v>634000</v>
      </c>
    </row>
    <row r="46" spans="1:8">
      <c r="A46" t="s">
        <v>25</v>
      </c>
      <c r="B46" t="s">
        <v>26</v>
      </c>
      <c r="C46" s="1" t="s">
        <v>11</v>
      </c>
      <c r="D46" s="1" t="s">
        <v>19</v>
      </c>
      <c r="E46" s="4">
        <v>22000000</v>
      </c>
      <c r="F46" t="s">
        <v>20</v>
      </c>
      <c r="G46" s="4">
        <v>60000000</v>
      </c>
      <c r="H46" s="4">
        <f t="shared" si="4"/>
        <v>38000000</v>
      </c>
    </row>
    <row r="47" spans="1:8">
      <c r="A47" t="s">
        <v>25</v>
      </c>
      <c r="B47" t="s">
        <v>27</v>
      </c>
      <c r="C47" s="1" t="s">
        <v>11</v>
      </c>
      <c r="D47" s="1" t="s">
        <v>19</v>
      </c>
      <c r="E47" s="4">
        <v>67000</v>
      </c>
      <c r="F47" t="s">
        <v>20</v>
      </c>
      <c r="G47" s="4">
        <v>4100000</v>
      </c>
      <c r="H47" s="4">
        <f t="shared" si="4"/>
        <v>4033000</v>
      </c>
    </row>
    <row r="48" spans="1:8">
      <c r="A48" t="s">
        <v>25</v>
      </c>
      <c r="B48" t="s">
        <v>28</v>
      </c>
      <c r="C48" s="1" t="s">
        <v>11</v>
      </c>
      <c r="D48" s="1" t="s">
        <v>19</v>
      </c>
      <c r="E48" s="4">
        <v>29000000</v>
      </c>
      <c r="F48" t="s">
        <v>20</v>
      </c>
      <c r="G48" s="4">
        <v>135000000</v>
      </c>
      <c r="H48" s="4">
        <f t="shared" si="4"/>
        <v>106000000</v>
      </c>
    </row>
    <row r="49" spans="1:8">
      <c r="C49" s="1"/>
      <c r="D49" s="1"/>
      <c r="E49" s="4"/>
      <c r="G49" s="4"/>
    </row>
    <row r="50" spans="1:8">
      <c r="A50" t="s">
        <v>30</v>
      </c>
      <c r="B50" t="s">
        <v>33</v>
      </c>
      <c r="C50" s="1" t="s">
        <v>11</v>
      </c>
      <c r="D50" s="1" t="s">
        <v>19</v>
      </c>
      <c r="E50" s="4">
        <v>7400</v>
      </c>
      <c r="F50" t="s">
        <v>20</v>
      </c>
      <c r="G50" s="4">
        <v>30000</v>
      </c>
      <c r="H50" s="4">
        <f t="shared" si="4"/>
        <v>22600</v>
      </c>
    </row>
    <row r="51" spans="1:8">
      <c r="A51" t="s">
        <v>30</v>
      </c>
      <c r="B51" t="s">
        <v>26</v>
      </c>
      <c r="C51" s="1" t="s">
        <v>11</v>
      </c>
      <c r="D51" s="1" t="s">
        <v>19</v>
      </c>
      <c r="E51" s="4">
        <v>12700</v>
      </c>
      <c r="F51" t="s">
        <v>20</v>
      </c>
      <c r="G51" s="4">
        <v>46000</v>
      </c>
      <c r="H51" s="4">
        <f t="shared" si="4"/>
        <v>33300</v>
      </c>
    </row>
    <row r="52" spans="1:8">
      <c r="A52" t="s">
        <v>30</v>
      </c>
      <c r="B52" t="s">
        <v>27</v>
      </c>
      <c r="C52" s="1" t="s">
        <v>11</v>
      </c>
      <c r="D52" s="1" t="s">
        <v>19</v>
      </c>
      <c r="E52" s="4">
        <v>2600</v>
      </c>
      <c r="F52" t="s">
        <v>20</v>
      </c>
      <c r="G52" s="4">
        <v>61000</v>
      </c>
      <c r="H52" s="4">
        <f t="shared" si="4"/>
        <v>58400</v>
      </c>
    </row>
    <row r="53" spans="1:8">
      <c r="A53" t="s">
        <v>30</v>
      </c>
      <c r="B53" t="s">
        <v>28</v>
      </c>
      <c r="C53" s="1" t="s">
        <v>11</v>
      </c>
      <c r="D53" s="1" t="s">
        <v>19</v>
      </c>
      <c r="E53" s="4">
        <v>21000</v>
      </c>
      <c r="F53" t="s">
        <v>20</v>
      </c>
      <c r="G53" s="4">
        <v>122000</v>
      </c>
      <c r="H53" s="4">
        <f t="shared" si="4"/>
        <v>101000</v>
      </c>
    </row>
    <row r="54" spans="1:8">
      <c r="E54" s="4"/>
      <c r="G54" s="4"/>
      <c r="H54" s="4"/>
    </row>
    <row r="55" spans="1:8">
      <c r="A55" t="s">
        <v>31</v>
      </c>
      <c r="B55" t="s">
        <v>33</v>
      </c>
      <c r="C55" s="1" t="s">
        <v>11</v>
      </c>
      <c r="D55" s="1" t="s">
        <v>19</v>
      </c>
      <c r="E55" s="4">
        <v>3500</v>
      </c>
      <c r="F55" t="s">
        <v>20</v>
      </c>
      <c r="G55" s="4">
        <v>72000</v>
      </c>
      <c r="H55" s="4">
        <f t="shared" si="4"/>
        <v>68500</v>
      </c>
    </row>
    <row r="56" spans="1:8">
      <c r="A56" t="s">
        <v>31</v>
      </c>
      <c r="B56" t="s">
        <v>26</v>
      </c>
      <c r="C56" s="1" t="s">
        <v>11</v>
      </c>
      <c r="D56" s="1" t="s">
        <v>19</v>
      </c>
      <c r="E56" s="4">
        <v>720</v>
      </c>
      <c r="F56" t="s">
        <v>20</v>
      </c>
      <c r="G56" s="4">
        <v>26600</v>
      </c>
      <c r="H56" s="4">
        <f t="shared" si="4"/>
        <v>25880</v>
      </c>
    </row>
    <row r="57" spans="1:8">
      <c r="A57" t="s">
        <v>31</v>
      </c>
      <c r="B57" t="s">
        <v>27</v>
      </c>
      <c r="C57" s="1" t="s">
        <v>11</v>
      </c>
      <c r="D57" s="1" t="s">
        <v>19</v>
      </c>
      <c r="E57" s="4">
        <v>280</v>
      </c>
      <c r="F57" t="s">
        <v>20</v>
      </c>
      <c r="G57" s="4">
        <v>97000</v>
      </c>
      <c r="H57" s="4">
        <f t="shared" si="4"/>
        <v>96720</v>
      </c>
    </row>
    <row r="58" spans="1:8">
      <c r="A58" t="s">
        <v>31</v>
      </c>
      <c r="B58" t="s">
        <v>28</v>
      </c>
      <c r="C58" s="1" t="s">
        <v>11</v>
      </c>
      <c r="D58" s="1" t="s">
        <v>19</v>
      </c>
      <c r="E58" s="4">
        <v>200000</v>
      </c>
      <c r="F58" t="s">
        <v>20</v>
      </c>
      <c r="G58" s="4">
        <v>1900000</v>
      </c>
      <c r="H58" s="4">
        <f t="shared" si="4"/>
        <v>1700000</v>
      </c>
    </row>
    <row r="59" spans="1:8">
      <c r="E59" s="4"/>
      <c r="G59" s="4"/>
    </row>
    <row r="60" spans="1:8">
      <c r="A60" t="s">
        <v>32</v>
      </c>
      <c r="B60" t="s">
        <v>33</v>
      </c>
      <c r="C60" s="1" t="s">
        <v>11</v>
      </c>
      <c r="D60" s="1" t="s">
        <v>19</v>
      </c>
      <c r="E60" s="4">
        <v>12800000</v>
      </c>
      <c r="F60" t="s">
        <v>20</v>
      </c>
      <c r="G60" s="4">
        <v>570000000</v>
      </c>
      <c r="H60" s="4">
        <f>G60-E60</f>
        <v>557200000</v>
      </c>
    </row>
    <row r="61" spans="1:8">
      <c r="A61" t="s">
        <v>32</v>
      </c>
      <c r="B61" t="s">
        <v>26</v>
      </c>
      <c r="C61" s="1" t="s">
        <v>11</v>
      </c>
      <c r="D61" s="1" t="s">
        <v>19</v>
      </c>
      <c r="E61" s="4">
        <v>3100000</v>
      </c>
      <c r="F61" t="s">
        <v>20</v>
      </c>
      <c r="G61" s="4">
        <v>117000000</v>
      </c>
      <c r="H61" s="4">
        <f t="shared" ref="H61:H63" si="5">G61-E61</f>
        <v>113900000</v>
      </c>
    </row>
    <row r="62" spans="1:8">
      <c r="A62" t="s">
        <v>32</v>
      </c>
      <c r="B62" t="s">
        <v>27</v>
      </c>
      <c r="C62" s="1" t="s">
        <v>11</v>
      </c>
      <c r="D62" s="1" t="s">
        <v>19</v>
      </c>
      <c r="E62" s="4">
        <v>1800000</v>
      </c>
      <c r="F62" t="s">
        <v>20</v>
      </c>
      <c r="G62" s="4">
        <v>280000000</v>
      </c>
      <c r="H62" s="4">
        <f t="shared" si="5"/>
        <v>278200000</v>
      </c>
    </row>
    <row r="63" spans="1:8">
      <c r="A63" t="s">
        <v>32</v>
      </c>
      <c r="B63" t="s">
        <v>28</v>
      </c>
      <c r="C63" s="1" t="s">
        <v>11</v>
      </c>
      <c r="D63" s="1" t="s">
        <v>19</v>
      </c>
      <c r="E63" s="4">
        <v>4900000</v>
      </c>
      <c r="F63" t="s">
        <v>20</v>
      </c>
      <c r="G63" s="4">
        <v>191000000</v>
      </c>
      <c r="H63" s="4">
        <f t="shared" si="5"/>
        <v>186100000</v>
      </c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72"/>
  <sheetViews>
    <sheetView topLeftCell="A9" workbookViewId="0">
      <selection activeCell="H14" sqref="H14:H17"/>
    </sheetView>
  </sheetViews>
  <sheetFormatPr baseColWidth="10" defaultRowHeight="15"/>
  <sheetData>
    <row r="1" spans="1:8">
      <c r="A1" t="s">
        <v>43</v>
      </c>
    </row>
    <row r="2" spans="1:8">
      <c r="A2" s="1" t="s">
        <v>0</v>
      </c>
      <c r="B2" s="1" t="s">
        <v>1</v>
      </c>
      <c r="C2" s="1"/>
      <c r="D2" s="1"/>
    </row>
    <row r="3" spans="1:8">
      <c r="A3" s="1" t="s">
        <v>2</v>
      </c>
      <c r="B3" s="1">
        <v>5</v>
      </c>
      <c r="C3" s="1"/>
      <c r="D3" s="1"/>
    </row>
    <row r="4" spans="1:8">
      <c r="A4" s="2" t="s">
        <v>3</v>
      </c>
      <c r="B4" s="1">
        <v>100</v>
      </c>
      <c r="C4" s="2"/>
      <c r="D4" s="1"/>
    </row>
    <row r="5" spans="1:8">
      <c r="A5" s="1" t="s">
        <v>4</v>
      </c>
      <c r="B5" s="1" t="s">
        <v>46</v>
      </c>
      <c r="C5" s="1"/>
      <c r="D5" s="1" t="s">
        <v>41</v>
      </c>
    </row>
    <row r="6" spans="1:8">
      <c r="A6" s="1" t="s">
        <v>6</v>
      </c>
      <c r="B6" s="1" t="s">
        <v>45</v>
      </c>
      <c r="C6" s="1"/>
      <c r="D6" s="1"/>
    </row>
    <row r="7" spans="1:8">
      <c r="A7" s="1" t="s">
        <v>7</v>
      </c>
      <c r="B7" s="1" t="s">
        <v>38</v>
      </c>
      <c r="C7" s="1"/>
      <c r="D7" s="1" t="s">
        <v>8</v>
      </c>
    </row>
    <row r="8" spans="1:8">
      <c r="A8" s="1"/>
      <c r="B8" s="1"/>
      <c r="C8" s="1"/>
      <c r="D8" s="1"/>
    </row>
    <row r="9" spans="1:8">
      <c r="A9" s="2" t="s">
        <v>9</v>
      </c>
      <c r="B9" s="1"/>
      <c r="C9" s="1"/>
    </row>
    <row r="10" spans="1:8">
      <c r="A10" s="1" t="s">
        <v>10</v>
      </c>
      <c r="B10" s="1" t="s">
        <v>47</v>
      </c>
      <c r="C10" s="1"/>
    </row>
    <row r="11" spans="1:8">
      <c r="A11" s="1" t="s">
        <v>11</v>
      </c>
      <c r="B11" s="1" t="s">
        <v>48</v>
      </c>
      <c r="C11" s="1"/>
    </row>
    <row r="12" spans="1:8">
      <c r="A12" s="1"/>
      <c r="B12" s="1"/>
      <c r="C12" s="1"/>
    </row>
    <row r="13" spans="1:8">
      <c r="A13" s="1"/>
      <c r="B13" s="1"/>
      <c r="C13" s="2" t="s">
        <v>12</v>
      </c>
      <c r="E13" t="s">
        <v>13</v>
      </c>
      <c r="F13" s="3" t="s">
        <v>7</v>
      </c>
    </row>
    <row r="14" spans="1:8">
      <c r="B14" s="1" t="s">
        <v>14</v>
      </c>
      <c r="C14" s="1" t="s">
        <v>15</v>
      </c>
      <c r="D14" t="s">
        <v>16</v>
      </c>
      <c r="E14" t="s">
        <v>15</v>
      </c>
      <c r="F14" t="s">
        <v>15</v>
      </c>
      <c r="G14" t="s">
        <v>17</v>
      </c>
      <c r="H14" s="3"/>
    </row>
    <row r="15" spans="1:8">
      <c r="A15" s="1" t="s">
        <v>10</v>
      </c>
      <c r="B15" s="1" t="s">
        <v>19</v>
      </c>
      <c r="C15" s="4">
        <v>2700000000</v>
      </c>
      <c r="D15" t="s">
        <v>8</v>
      </c>
      <c r="E15" s="4">
        <v>5000000000</v>
      </c>
      <c r="F15" s="4">
        <f>E15-C15</f>
        <v>2300000000</v>
      </c>
      <c r="G15" s="4">
        <f>E15/10</f>
        <v>500000000</v>
      </c>
      <c r="H15" s="7"/>
    </row>
    <row r="16" spans="1:8">
      <c r="A16" s="1"/>
      <c r="B16" s="1"/>
      <c r="C16" s="4"/>
      <c r="E16" s="4"/>
      <c r="F16" s="4"/>
      <c r="G16" s="4"/>
      <c r="H16" s="7"/>
    </row>
    <row r="17" spans="1:8">
      <c r="A17" t="s">
        <v>11</v>
      </c>
      <c r="B17" s="1" t="s">
        <v>19</v>
      </c>
      <c r="C17" s="4">
        <v>3600000000</v>
      </c>
      <c r="D17" t="s">
        <v>8</v>
      </c>
      <c r="E17" s="4">
        <v>5900000000</v>
      </c>
      <c r="F17" s="4">
        <f>E17-C17</f>
        <v>2300000000</v>
      </c>
      <c r="G17" s="4">
        <f>E17/10</f>
        <v>590000000</v>
      </c>
      <c r="H17" s="7"/>
    </row>
    <row r="18" spans="1:8">
      <c r="B18" s="1"/>
      <c r="C18" s="4"/>
      <c r="E18" s="4"/>
      <c r="F18" s="4"/>
      <c r="G18" s="4"/>
      <c r="H18" s="7"/>
    </row>
    <row r="19" spans="1:8">
      <c r="A19" s="1"/>
    </row>
    <row r="20" spans="1:8">
      <c r="A20" s="6" t="s">
        <v>10</v>
      </c>
      <c r="C20" s="1"/>
      <c r="D20" s="1" t="s">
        <v>12</v>
      </c>
      <c r="E20" s="2" t="s">
        <v>12</v>
      </c>
      <c r="F20" t="s">
        <v>13</v>
      </c>
      <c r="G20" t="s">
        <v>13</v>
      </c>
      <c r="H20" s="3" t="s">
        <v>7</v>
      </c>
    </row>
    <row r="21" spans="1:8">
      <c r="A21" s="2" t="s">
        <v>22</v>
      </c>
      <c r="D21" s="2" t="s">
        <v>23</v>
      </c>
      <c r="E21" s="2" t="s">
        <v>15</v>
      </c>
      <c r="F21" s="3" t="s">
        <v>24</v>
      </c>
      <c r="G21" s="3" t="s">
        <v>15</v>
      </c>
      <c r="H21" s="3" t="s">
        <v>15</v>
      </c>
    </row>
    <row r="22" spans="1:8">
      <c r="A22" t="s">
        <v>25</v>
      </c>
      <c r="B22" t="s">
        <v>33</v>
      </c>
      <c r="C22" s="1" t="s">
        <v>10</v>
      </c>
      <c r="D22" s="1" t="s">
        <v>19</v>
      </c>
      <c r="E22" s="4">
        <v>14400000</v>
      </c>
      <c r="F22" t="s">
        <v>8</v>
      </c>
      <c r="G22" s="4">
        <v>15500000</v>
      </c>
      <c r="H22" s="4">
        <f>G22-E22</f>
        <v>1100000</v>
      </c>
    </row>
    <row r="23" spans="1:8">
      <c r="A23" t="s">
        <v>25</v>
      </c>
      <c r="B23" t="s">
        <v>26</v>
      </c>
      <c r="C23" s="1" t="s">
        <v>10</v>
      </c>
      <c r="D23" s="1" t="s">
        <v>19</v>
      </c>
      <c r="E23" s="4">
        <v>31000000</v>
      </c>
      <c r="F23" t="s">
        <v>8</v>
      </c>
      <c r="G23" s="4">
        <v>53000000</v>
      </c>
      <c r="H23" s="4">
        <f t="shared" ref="H23:H26" si="0">G23-E23</f>
        <v>22000000</v>
      </c>
    </row>
    <row r="24" spans="1:8">
      <c r="A24" t="s">
        <v>25</v>
      </c>
      <c r="B24" t="s">
        <v>27</v>
      </c>
      <c r="C24" s="1" t="s">
        <v>10</v>
      </c>
      <c r="D24" s="1" t="s">
        <v>19</v>
      </c>
      <c r="E24" s="4">
        <v>370000000</v>
      </c>
      <c r="F24" t="s">
        <v>8</v>
      </c>
      <c r="G24" s="4">
        <v>480000000</v>
      </c>
      <c r="H24" s="4">
        <f t="shared" si="0"/>
        <v>110000000</v>
      </c>
    </row>
    <row r="25" spans="1:8">
      <c r="A25" t="s">
        <v>25</v>
      </c>
      <c r="B25" t="s">
        <v>28</v>
      </c>
      <c r="C25" s="1" t="s">
        <v>10</v>
      </c>
      <c r="D25" s="1" t="s">
        <v>19</v>
      </c>
      <c r="E25" s="4">
        <v>200000000</v>
      </c>
      <c r="F25" t="s">
        <v>8</v>
      </c>
      <c r="G25" s="4">
        <v>250000000</v>
      </c>
      <c r="H25" s="4">
        <f t="shared" si="0"/>
        <v>50000000</v>
      </c>
    </row>
    <row r="26" spans="1:8">
      <c r="A26" t="s">
        <v>25</v>
      </c>
      <c r="B26" t="s">
        <v>29</v>
      </c>
      <c r="C26" s="1" t="s">
        <v>10</v>
      </c>
      <c r="D26" s="1" t="s">
        <v>19</v>
      </c>
      <c r="E26" s="4">
        <v>8900000</v>
      </c>
      <c r="F26" t="s">
        <v>8</v>
      </c>
      <c r="G26" s="4">
        <v>9000000</v>
      </c>
      <c r="H26" s="4">
        <f t="shared" si="0"/>
        <v>100000</v>
      </c>
    </row>
    <row r="27" spans="1:8">
      <c r="C27" s="1"/>
      <c r="D27" s="1"/>
      <c r="E27" s="4"/>
      <c r="G27" s="4"/>
      <c r="H27" s="4"/>
    </row>
    <row r="28" spans="1:8">
      <c r="A28" t="s">
        <v>30</v>
      </c>
      <c r="B28" t="s">
        <v>33</v>
      </c>
      <c r="C28" s="1" t="s">
        <v>10</v>
      </c>
      <c r="D28" s="1" t="s">
        <v>19</v>
      </c>
      <c r="E28" s="4">
        <v>220000</v>
      </c>
      <c r="F28" t="s">
        <v>8</v>
      </c>
      <c r="G28" s="4">
        <v>250000</v>
      </c>
      <c r="H28" s="4">
        <f t="shared" ref="H28:H32" si="1">G28-E28</f>
        <v>30000</v>
      </c>
    </row>
    <row r="29" spans="1:8">
      <c r="A29" t="s">
        <v>30</v>
      </c>
      <c r="B29" t="s">
        <v>26</v>
      </c>
      <c r="C29" s="1" t="s">
        <v>10</v>
      </c>
      <c r="D29" s="1" t="s">
        <v>19</v>
      </c>
      <c r="E29" s="4">
        <v>102000</v>
      </c>
      <c r="F29" t="s">
        <v>8</v>
      </c>
      <c r="G29" s="4">
        <v>220000</v>
      </c>
      <c r="H29" s="4">
        <f t="shared" si="1"/>
        <v>118000</v>
      </c>
    </row>
    <row r="30" spans="1:8">
      <c r="A30" t="s">
        <v>30</v>
      </c>
      <c r="B30" t="s">
        <v>27</v>
      </c>
      <c r="C30" s="1" t="s">
        <v>10</v>
      </c>
      <c r="D30" s="1" t="s">
        <v>19</v>
      </c>
      <c r="E30" s="4">
        <v>91000</v>
      </c>
      <c r="F30" t="s">
        <v>8</v>
      </c>
      <c r="G30" s="4">
        <v>112000</v>
      </c>
      <c r="H30" s="4">
        <f t="shared" si="1"/>
        <v>21000</v>
      </c>
    </row>
    <row r="31" spans="1:8">
      <c r="A31" t="s">
        <v>30</v>
      </c>
      <c r="B31" t="s">
        <v>28</v>
      </c>
      <c r="C31" s="1" t="s">
        <v>10</v>
      </c>
      <c r="D31" s="1" t="s">
        <v>19</v>
      </c>
      <c r="E31" s="4">
        <v>137000</v>
      </c>
      <c r="F31" t="s">
        <v>8</v>
      </c>
      <c r="G31" s="4">
        <v>200000</v>
      </c>
      <c r="H31" s="4">
        <f t="shared" si="1"/>
        <v>63000</v>
      </c>
    </row>
    <row r="32" spans="1:8">
      <c r="A32" t="s">
        <v>30</v>
      </c>
      <c r="B32" t="s">
        <v>29</v>
      </c>
      <c r="C32" s="1" t="s">
        <v>10</v>
      </c>
      <c r="D32" s="1" t="s">
        <v>19</v>
      </c>
      <c r="E32" s="4">
        <v>100000</v>
      </c>
      <c r="F32" t="s">
        <v>8</v>
      </c>
      <c r="G32" s="4">
        <v>114000</v>
      </c>
      <c r="H32" s="4">
        <f t="shared" si="1"/>
        <v>14000</v>
      </c>
    </row>
    <row r="33" spans="1:8">
      <c r="E33" s="4"/>
      <c r="G33" s="4"/>
      <c r="H33" s="4"/>
    </row>
    <row r="34" spans="1:8">
      <c r="A34" t="s">
        <v>31</v>
      </c>
      <c r="B34" t="s">
        <v>33</v>
      </c>
      <c r="C34" s="1" t="s">
        <v>10</v>
      </c>
      <c r="D34" s="1" t="s">
        <v>19</v>
      </c>
      <c r="E34" s="4">
        <v>84000</v>
      </c>
      <c r="F34" t="s">
        <v>8</v>
      </c>
      <c r="G34" s="4">
        <v>118000</v>
      </c>
      <c r="H34" s="4">
        <f t="shared" ref="H34:H38" si="2">G34-E34</f>
        <v>34000</v>
      </c>
    </row>
    <row r="35" spans="1:8">
      <c r="A35" t="s">
        <v>31</v>
      </c>
      <c r="B35" t="s">
        <v>26</v>
      </c>
      <c r="C35" s="1" t="s">
        <v>10</v>
      </c>
      <c r="D35" s="1" t="s">
        <v>19</v>
      </c>
      <c r="E35" s="4">
        <v>59000</v>
      </c>
      <c r="F35" t="s">
        <v>8</v>
      </c>
      <c r="G35" s="4">
        <v>118000</v>
      </c>
      <c r="H35" s="4">
        <f t="shared" si="2"/>
        <v>59000</v>
      </c>
    </row>
    <row r="36" spans="1:8">
      <c r="A36" t="s">
        <v>31</v>
      </c>
      <c r="B36" t="s">
        <v>27</v>
      </c>
      <c r="C36" s="1" t="s">
        <v>10</v>
      </c>
      <c r="D36" s="1" t="s">
        <v>19</v>
      </c>
      <c r="E36" s="4">
        <v>45000</v>
      </c>
      <c r="F36" t="s">
        <v>8</v>
      </c>
      <c r="G36" s="4">
        <v>50000</v>
      </c>
      <c r="H36" s="4">
        <f t="shared" si="2"/>
        <v>5000</v>
      </c>
    </row>
    <row r="37" spans="1:8">
      <c r="A37" t="s">
        <v>31</v>
      </c>
      <c r="B37" t="s">
        <v>28</v>
      </c>
      <c r="C37" s="1" t="s">
        <v>10</v>
      </c>
      <c r="D37" s="1" t="s">
        <v>19</v>
      </c>
      <c r="E37" s="4">
        <v>33000</v>
      </c>
      <c r="F37" t="s">
        <v>8</v>
      </c>
      <c r="G37" s="4">
        <v>79000</v>
      </c>
      <c r="H37" s="4">
        <f t="shared" si="2"/>
        <v>46000</v>
      </c>
    </row>
    <row r="38" spans="1:8">
      <c r="A38" t="s">
        <v>31</v>
      </c>
      <c r="B38" t="s">
        <v>29</v>
      </c>
      <c r="C38" s="1" t="s">
        <v>10</v>
      </c>
      <c r="D38" s="1" t="s">
        <v>19</v>
      </c>
      <c r="E38" s="4">
        <v>91000</v>
      </c>
      <c r="F38" t="s">
        <v>8</v>
      </c>
      <c r="G38" s="4">
        <v>104000</v>
      </c>
      <c r="H38" s="4">
        <f t="shared" si="2"/>
        <v>13000</v>
      </c>
    </row>
    <row r="39" spans="1:8">
      <c r="E39" s="4"/>
      <c r="G39" s="4"/>
      <c r="H39" s="4"/>
    </row>
    <row r="40" spans="1:8">
      <c r="A40" t="s">
        <v>32</v>
      </c>
      <c r="B40" t="s">
        <v>33</v>
      </c>
      <c r="C40" s="1" t="s">
        <v>10</v>
      </c>
      <c r="D40" s="1" t="s">
        <v>19</v>
      </c>
      <c r="E40" s="4">
        <v>80000000</v>
      </c>
      <c r="F40" t="s">
        <v>8</v>
      </c>
      <c r="G40" s="4">
        <v>157000000</v>
      </c>
      <c r="H40" s="4">
        <f t="shared" ref="H40:H44" si="3">G40-E40</f>
        <v>77000000</v>
      </c>
    </row>
    <row r="41" spans="1:8">
      <c r="A41" t="s">
        <v>32</v>
      </c>
      <c r="B41" t="s">
        <v>26</v>
      </c>
      <c r="C41" s="1" t="s">
        <v>10</v>
      </c>
      <c r="D41" s="1" t="s">
        <v>19</v>
      </c>
      <c r="E41" s="4">
        <v>91000000</v>
      </c>
      <c r="F41" t="s">
        <v>8</v>
      </c>
      <c r="G41" s="4">
        <v>250000000</v>
      </c>
      <c r="H41" s="4">
        <f t="shared" si="3"/>
        <v>159000000</v>
      </c>
    </row>
    <row r="42" spans="1:8">
      <c r="A42" t="s">
        <v>32</v>
      </c>
      <c r="B42" t="s">
        <v>27</v>
      </c>
      <c r="C42" s="1" t="s">
        <v>10</v>
      </c>
      <c r="D42" s="1" t="s">
        <v>19</v>
      </c>
      <c r="E42" s="4">
        <v>108000000</v>
      </c>
      <c r="F42" t="s">
        <v>8</v>
      </c>
      <c r="G42" s="4">
        <v>220000000</v>
      </c>
      <c r="H42" s="4">
        <f t="shared" si="3"/>
        <v>112000000</v>
      </c>
    </row>
    <row r="43" spans="1:8">
      <c r="A43" t="s">
        <v>32</v>
      </c>
      <c r="B43" t="s">
        <v>28</v>
      </c>
      <c r="C43" s="1" t="s">
        <v>10</v>
      </c>
      <c r="D43" s="1" t="s">
        <v>19</v>
      </c>
      <c r="E43" s="4">
        <v>20000000</v>
      </c>
      <c r="F43" t="s">
        <v>8</v>
      </c>
      <c r="G43" s="4">
        <v>106000000</v>
      </c>
      <c r="H43" s="4">
        <f t="shared" si="3"/>
        <v>86000000</v>
      </c>
    </row>
    <row r="44" spans="1:8">
      <c r="A44" t="s">
        <v>32</v>
      </c>
      <c r="B44" t="s">
        <v>29</v>
      </c>
      <c r="C44" s="1" t="s">
        <v>10</v>
      </c>
      <c r="D44" s="1" t="s">
        <v>19</v>
      </c>
      <c r="E44" s="4">
        <v>112000000</v>
      </c>
      <c r="F44" t="s">
        <v>8</v>
      </c>
      <c r="G44" s="4">
        <v>200000000</v>
      </c>
      <c r="H44" s="4">
        <f t="shared" si="3"/>
        <v>88000000</v>
      </c>
    </row>
    <row r="47" spans="1:8">
      <c r="A47" s="1"/>
    </row>
    <row r="48" spans="1:8">
      <c r="A48" s="6" t="s">
        <v>11</v>
      </c>
      <c r="C48" s="1"/>
      <c r="D48" s="1" t="s">
        <v>12</v>
      </c>
      <c r="E48" s="2" t="s">
        <v>12</v>
      </c>
      <c r="F48" t="s">
        <v>13</v>
      </c>
      <c r="G48" t="s">
        <v>13</v>
      </c>
      <c r="H48" s="3" t="s">
        <v>7</v>
      </c>
    </row>
    <row r="49" spans="1:8">
      <c r="A49" s="2" t="s">
        <v>22</v>
      </c>
      <c r="D49" s="2" t="s">
        <v>23</v>
      </c>
      <c r="E49" s="2" t="s">
        <v>15</v>
      </c>
      <c r="F49" s="3" t="s">
        <v>24</v>
      </c>
      <c r="G49" s="3" t="s">
        <v>15</v>
      </c>
      <c r="H49" s="3" t="s">
        <v>15</v>
      </c>
    </row>
    <row r="50" spans="1:8">
      <c r="A50" t="s">
        <v>25</v>
      </c>
      <c r="B50" t="s">
        <v>33</v>
      </c>
      <c r="C50" s="1" t="s">
        <v>11</v>
      </c>
      <c r="D50" s="1" t="s">
        <v>19</v>
      </c>
      <c r="E50" s="4">
        <v>20900000</v>
      </c>
      <c r="F50" t="s">
        <v>8</v>
      </c>
      <c r="G50" s="4">
        <v>240000000</v>
      </c>
      <c r="H50" s="4">
        <f>G50-E50</f>
        <v>219100000</v>
      </c>
    </row>
    <row r="51" spans="1:8">
      <c r="A51" t="s">
        <v>25</v>
      </c>
      <c r="B51" t="s">
        <v>26</v>
      </c>
      <c r="C51" s="1" t="s">
        <v>11</v>
      </c>
      <c r="D51" s="1" t="s">
        <v>19</v>
      </c>
      <c r="E51" s="4">
        <v>3800000</v>
      </c>
      <c r="F51" t="s">
        <v>8</v>
      </c>
      <c r="G51" s="4">
        <v>37000000</v>
      </c>
      <c r="H51" s="4">
        <f t="shared" ref="H51:H54" si="4">G51-E51</f>
        <v>33200000</v>
      </c>
    </row>
    <row r="52" spans="1:8">
      <c r="A52" t="s">
        <v>25</v>
      </c>
      <c r="B52" t="s">
        <v>27</v>
      </c>
      <c r="C52" s="1" t="s">
        <v>11</v>
      </c>
      <c r="D52" s="1" t="s">
        <v>19</v>
      </c>
      <c r="E52" s="4">
        <v>9600000</v>
      </c>
      <c r="F52" t="s">
        <v>8</v>
      </c>
      <c r="G52" s="4">
        <v>123000000</v>
      </c>
      <c r="H52" s="4">
        <f t="shared" si="4"/>
        <v>113400000</v>
      </c>
    </row>
    <row r="53" spans="1:8">
      <c r="A53" t="s">
        <v>25</v>
      </c>
      <c r="B53" t="s">
        <v>28</v>
      </c>
      <c r="C53" s="1" t="s">
        <v>11</v>
      </c>
      <c r="D53" s="1" t="s">
        <v>19</v>
      </c>
      <c r="E53" s="4">
        <v>56000000</v>
      </c>
      <c r="F53" t="s">
        <v>8</v>
      </c>
      <c r="G53" s="4">
        <v>230000000</v>
      </c>
      <c r="H53" s="4">
        <f t="shared" si="4"/>
        <v>174000000</v>
      </c>
    </row>
    <row r="54" spans="1:8">
      <c r="A54" t="s">
        <v>25</v>
      </c>
      <c r="B54" t="s">
        <v>29</v>
      </c>
      <c r="C54" s="1" t="s">
        <v>11</v>
      </c>
      <c r="D54" s="1" t="s">
        <v>19</v>
      </c>
      <c r="E54" s="4">
        <v>1890000</v>
      </c>
      <c r="F54" t="s">
        <v>8</v>
      </c>
      <c r="G54" s="4">
        <v>192000000</v>
      </c>
      <c r="H54" s="4">
        <f t="shared" si="4"/>
        <v>190110000</v>
      </c>
    </row>
    <row r="55" spans="1:8">
      <c r="C55" s="1"/>
      <c r="D55" s="1"/>
      <c r="E55" s="4"/>
      <c r="G55" s="4"/>
      <c r="H55" s="4"/>
    </row>
    <row r="56" spans="1:8">
      <c r="A56" t="s">
        <v>30</v>
      </c>
      <c r="B56" t="s">
        <v>33</v>
      </c>
      <c r="C56" s="1" t="s">
        <v>11</v>
      </c>
      <c r="D56" s="1" t="s">
        <v>19</v>
      </c>
      <c r="E56" s="4">
        <v>23000</v>
      </c>
      <c r="F56" t="s">
        <v>8</v>
      </c>
      <c r="G56" s="4">
        <v>1560000</v>
      </c>
      <c r="H56" s="4">
        <f t="shared" ref="H56:H60" si="5">G56-E56</f>
        <v>1537000</v>
      </c>
    </row>
    <row r="57" spans="1:8">
      <c r="A57" t="s">
        <v>30</v>
      </c>
      <c r="B57" t="s">
        <v>26</v>
      </c>
      <c r="C57" s="1" t="s">
        <v>11</v>
      </c>
      <c r="D57" s="1" t="s">
        <v>19</v>
      </c>
      <c r="E57" s="4">
        <v>44000</v>
      </c>
      <c r="F57" t="s">
        <v>8</v>
      </c>
      <c r="G57" s="4">
        <v>330000</v>
      </c>
      <c r="H57" s="4">
        <f t="shared" si="5"/>
        <v>286000</v>
      </c>
    </row>
    <row r="58" spans="1:8">
      <c r="A58" t="s">
        <v>30</v>
      </c>
      <c r="B58" t="s">
        <v>27</v>
      </c>
      <c r="C58" s="1" t="s">
        <v>11</v>
      </c>
      <c r="D58" s="1" t="s">
        <v>19</v>
      </c>
      <c r="E58" s="4">
        <v>55000</v>
      </c>
      <c r="F58" t="s">
        <v>8</v>
      </c>
      <c r="G58" s="4">
        <v>880000</v>
      </c>
      <c r="H58" s="4">
        <f t="shared" si="5"/>
        <v>825000</v>
      </c>
    </row>
    <row r="59" spans="1:8">
      <c r="A59" t="s">
        <v>30</v>
      </c>
      <c r="B59" t="s">
        <v>28</v>
      </c>
      <c r="C59" s="1" t="s">
        <v>11</v>
      </c>
      <c r="D59" s="1" t="s">
        <v>19</v>
      </c>
      <c r="E59" s="4">
        <v>40000</v>
      </c>
      <c r="F59" t="s">
        <v>8</v>
      </c>
      <c r="G59" s="4">
        <v>460000</v>
      </c>
      <c r="H59" s="4">
        <f t="shared" si="5"/>
        <v>420000</v>
      </c>
    </row>
    <row r="60" spans="1:8">
      <c r="A60" t="s">
        <v>30</v>
      </c>
      <c r="B60" t="s">
        <v>29</v>
      </c>
      <c r="C60" s="1" t="s">
        <v>11</v>
      </c>
      <c r="D60" s="1" t="s">
        <v>19</v>
      </c>
      <c r="E60" s="4">
        <v>43000</v>
      </c>
      <c r="F60" t="s">
        <v>8</v>
      </c>
      <c r="G60" s="4">
        <v>360000</v>
      </c>
      <c r="H60" s="4">
        <f t="shared" si="5"/>
        <v>317000</v>
      </c>
    </row>
    <row r="61" spans="1:8">
      <c r="E61" s="4"/>
      <c r="G61" s="4"/>
      <c r="H61" s="4"/>
    </row>
    <row r="62" spans="1:8">
      <c r="A62" t="s">
        <v>31</v>
      </c>
      <c r="B62" t="s">
        <v>33</v>
      </c>
      <c r="C62" s="1" t="s">
        <v>11</v>
      </c>
      <c r="D62" s="1" t="s">
        <v>19</v>
      </c>
      <c r="E62" s="4">
        <v>10100</v>
      </c>
      <c r="F62" t="s">
        <v>8</v>
      </c>
      <c r="G62" s="4">
        <v>670000</v>
      </c>
      <c r="H62" s="4">
        <f t="shared" ref="H62:H66" si="6">G62-E62</f>
        <v>659900</v>
      </c>
    </row>
    <row r="63" spans="1:8">
      <c r="A63" t="s">
        <v>31</v>
      </c>
      <c r="B63" t="s">
        <v>26</v>
      </c>
      <c r="C63" s="1" t="s">
        <v>11</v>
      </c>
      <c r="D63" s="1" t="s">
        <v>19</v>
      </c>
      <c r="E63" s="4">
        <v>27000</v>
      </c>
      <c r="F63" t="s">
        <v>8</v>
      </c>
      <c r="G63" s="4">
        <v>610000</v>
      </c>
      <c r="H63" s="4">
        <f t="shared" si="6"/>
        <v>583000</v>
      </c>
    </row>
    <row r="64" spans="1:8">
      <c r="A64" t="s">
        <v>31</v>
      </c>
      <c r="B64" t="s">
        <v>27</v>
      </c>
      <c r="C64" s="1" t="s">
        <v>11</v>
      </c>
      <c r="D64" s="1" t="s">
        <v>19</v>
      </c>
      <c r="E64" s="4">
        <v>82000</v>
      </c>
      <c r="F64" t="s">
        <v>8</v>
      </c>
      <c r="G64" s="4">
        <v>1630000</v>
      </c>
      <c r="H64" s="4">
        <f t="shared" si="6"/>
        <v>1548000</v>
      </c>
    </row>
    <row r="65" spans="1:8">
      <c r="A65" t="s">
        <v>31</v>
      </c>
      <c r="B65" t="s">
        <v>28</v>
      </c>
      <c r="C65" s="1" t="s">
        <v>11</v>
      </c>
      <c r="D65" s="1" t="s">
        <v>19</v>
      </c>
      <c r="E65" s="4">
        <v>33000</v>
      </c>
      <c r="F65" t="s">
        <v>8</v>
      </c>
      <c r="G65" s="4">
        <v>250000</v>
      </c>
      <c r="H65" s="4">
        <f t="shared" si="6"/>
        <v>217000</v>
      </c>
    </row>
    <row r="66" spans="1:8">
      <c r="A66" t="s">
        <v>31</v>
      </c>
      <c r="B66" t="s">
        <v>29</v>
      </c>
      <c r="C66" s="1" t="s">
        <v>11</v>
      </c>
      <c r="D66" s="1" t="s">
        <v>19</v>
      </c>
      <c r="E66" s="4">
        <v>4600</v>
      </c>
      <c r="F66" t="s">
        <v>8</v>
      </c>
      <c r="G66" s="4">
        <v>55000</v>
      </c>
      <c r="H66" s="4">
        <f t="shared" si="6"/>
        <v>50400</v>
      </c>
    </row>
    <row r="67" spans="1:8">
      <c r="E67" s="4"/>
      <c r="G67" s="4"/>
      <c r="H67" s="4"/>
    </row>
    <row r="68" spans="1:8">
      <c r="A68" t="s">
        <v>32</v>
      </c>
      <c r="B68" t="s">
        <v>33</v>
      </c>
      <c r="C68" s="1" t="s">
        <v>11</v>
      </c>
      <c r="D68" s="1" t="s">
        <v>19</v>
      </c>
      <c r="E68" s="4">
        <v>2500000</v>
      </c>
      <c r="F68" t="s">
        <v>8</v>
      </c>
      <c r="G68" s="4">
        <v>260000000</v>
      </c>
      <c r="H68" s="4">
        <f t="shared" ref="H68:H72" si="7">G68-E68</f>
        <v>257500000</v>
      </c>
    </row>
    <row r="69" spans="1:8">
      <c r="A69" t="s">
        <v>32</v>
      </c>
      <c r="B69" t="s">
        <v>26</v>
      </c>
      <c r="C69" s="1" t="s">
        <v>11</v>
      </c>
      <c r="D69" s="1" t="s">
        <v>19</v>
      </c>
      <c r="E69" s="4">
        <v>9200000</v>
      </c>
      <c r="F69" t="s">
        <v>8</v>
      </c>
      <c r="G69" s="4">
        <v>230000000</v>
      </c>
      <c r="H69" s="4">
        <f t="shared" si="7"/>
        <v>220800000</v>
      </c>
    </row>
    <row r="70" spans="1:8">
      <c r="A70" t="s">
        <v>32</v>
      </c>
      <c r="B70" t="s">
        <v>27</v>
      </c>
      <c r="C70" s="1" t="s">
        <v>11</v>
      </c>
      <c r="D70" s="1" t="s">
        <v>19</v>
      </c>
      <c r="E70" s="4">
        <v>8500000</v>
      </c>
      <c r="F70" t="s">
        <v>8</v>
      </c>
      <c r="G70" s="4">
        <v>640000000</v>
      </c>
      <c r="H70" s="4">
        <f t="shared" si="7"/>
        <v>631500000</v>
      </c>
    </row>
    <row r="71" spans="1:8">
      <c r="A71" t="s">
        <v>32</v>
      </c>
      <c r="B71" t="s">
        <v>28</v>
      </c>
      <c r="C71" s="1" t="s">
        <v>11</v>
      </c>
      <c r="D71" s="1" t="s">
        <v>19</v>
      </c>
      <c r="E71" s="4">
        <v>2100000</v>
      </c>
      <c r="F71" t="s">
        <v>8</v>
      </c>
      <c r="G71" s="4">
        <v>165000000</v>
      </c>
      <c r="H71" s="4">
        <f t="shared" si="7"/>
        <v>162900000</v>
      </c>
    </row>
    <row r="72" spans="1:8">
      <c r="A72" t="s">
        <v>32</v>
      </c>
      <c r="B72" t="s">
        <v>29</v>
      </c>
      <c r="C72" s="1" t="s">
        <v>11</v>
      </c>
      <c r="D72" s="1" t="s">
        <v>19</v>
      </c>
      <c r="E72" s="4">
        <v>1200000</v>
      </c>
      <c r="F72" t="s">
        <v>8</v>
      </c>
      <c r="G72" s="4">
        <v>360000000</v>
      </c>
      <c r="H72" s="4">
        <f t="shared" si="7"/>
        <v>358800000</v>
      </c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83"/>
  <sheetViews>
    <sheetView topLeftCell="A9" workbookViewId="0">
      <selection activeCell="H14" sqref="H14:I15"/>
    </sheetView>
  </sheetViews>
  <sheetFormatPr baseColWidth="10" defaultRowHeight="15"/>
  <cols>
    <col min="3" max="3" width="13.83203125" bestFit="1" customWidth="1"/>
    <col min="5" max="5" width="13.83203125" bestFit="1" customWidth="1"/>
  </cols>
  <sheetData>
    <row r="1" spans="1:9">
      <c r="A1" t="s">
        <v>49</v>
      </c>
    </row>
    <row r="3" spans="1:9">
      <c r="A3" s="1" t="s">
        <v>0</v>
      </c>
      <c r="B3" s="1" t="s">
        <v>1</v>
      </c>
      <c r="C3" s="1"/>
    </row>
    <row r="4" spans="1:9">
      <c r="A4" s="1" t="s">
        <v>2</v>
      </c>
      <c r="B4" s="1">
        <v>5</v>
      </c>
      <c r="C4" s="1"/>
    </row>
    <row r="5" spans="1:9">
      <c r="A5" s="2" t="s">
        <v>3</v>
      </c>
      <c r="B5" s="1">
        <v>100</v>
      </c>
      <c r="C5" s="1"/>
    </row>
    <row r="6" spans="1:9">
      <c r="A6" s="1" t="s">
        <v>4</v>
      </c>
      <c r="B6" s="1" t="s">
        <v>50</v>
      </c>
      <c r="C6" s="1" t="s">
        <v>51</v>
      </c>
    </row>
    <row r="7" spans="1:9">
      <c r="A7" s="1" t="s">
        <v>6</v>
      </c>
      <c r="B7" s="1"/>
      <c r="C7" s="1"/>
    </row>
    <row r="8" spans="1:9">
      <c r="A8" s="1" t="s">
        <v>7</v>
      </c>
      <c r="B8" s="1" t="s">
        <v>38</v>
      </c>
      <c r="C8" s="1" t="s">
        <v>20</v>
      </c>
    </row>
    <row r="9" spans="1:9">
      <c r="A9" s="1"/>
      <c r="B9" s="1"/>
      <c r="C9" s="1"/>
    </row>
    <row r="10" spans="1:9">
      <c r="A10" s="2" t="s">
        <v>9</v>
      </c>
      <c r="B10" s="1"/>
      <c r="C10" s="1"/>
    </row>
    <row r="11" spans="1:9">
      <c r="A11" s="1" t="s">
        <v>54</v>
      </c>
      <c r="B11" s="1"/>
      <c r="C11" s="1"/>
    </row>
    <row r="12" spans="1:9">
      <c r="A12" s="1"/>
      <c r="B12" s="1"/>
      <c r="C12" s="1"/>
    </row>
    <row r="13" spans="1:9">
      <c r="A13" s="1"/>
      <c r="B13" s="1"/>
      <c r="C13" s="2" t="s">
        <v>12</v>
      </c>
      <c r="E13" t="s">
        <v>13</v>
      </c>
      <c r="F13" s="3" t="s">
        <v>7</v>
      </c>
    </row>
    <row r="14" spans="1:9">
      <c r="B14" s="1" t="s">
        <v>14</v>
      </c>
      <c r="C14" s="1" t="s">
        <v>15</v>
      </c>
      <c r="D14" t="s">
        <v>16</v>
      </c>
      <c r="E14" t="s">
        <v>15</v>
      </c>
      <c r="F14" t="s">
        <v>15</v>
      </c>
      <c r="G14" t="s">
        <v>17</v>
      </c>
      <c r="H14" s="3"/>
    </row>
    <row r="15" spans="1:9">
      <c r="A15" s="1" t="s">
        <v>52</v>
      </c>
      <c r="B15" s="1" t="s">
        <v>53</v>
      </c>
      <c r="C15" s="4">
        <f>55000000*20</f>
        <v>1100000000</v>
      </c>
      <c r="D15" t="s">
        <v>20</v>
      </c>
      <c r="E15" s="4">
        <f>97000000*20</f>
        <v>1940000000</v>
      </c>
      <c r="F15" s="4">
        <f>E15-C15</f>
        <v>840000000</v>
      </c>
      <c r="G15" s="4">
        <f>E15/10</f>
        <v>194000000</v>
      </c>
      <c r="I15" s="5"/>
    </row>
    <row r="17" spans="1:10">
      <c r="A17" s="1"/>
      <c r="C17" s="1" t="s">
        <v>12</v>
      </c>
      <c r="D17" s="2" t="s">
        <v>12</v>
      </c>
      <c r="E17" t="s">
        <v>13</v>
      </c>
      <c r="F17" s="1" t="s">
        <v>13</v>
      </c>
      <c r="G17" s="3" t="s">
        <v>7</v>
      </c>
      <c r="H17" s="3"/>
    </row>
    <row r="18" spans="1:10">
      <c r="A18" s="2" t="s">
        <v>22</v>
      </c>
      <c r="C18" s="2" t="s">
        <v>23</v>
      </c>
      <c r="D18" s="2" t="s">
        <v>15</v>
      </c>
      <c r="E18" s="3" t="s">
        <v>24</v>
      </c>
      <c r="F18" t="s">
        <v>15</v>
      </c>
      <c r="G18" s="3" t="s">
        <v>15</v>
      </c>
    </row>
    <row r="19" spans="1:10">
      <c r="A19" t="s">
        <v>25</v>
      </c>
      <c r="B19" t="s">
        <v>33</v>
      </c>
      <c r="C19" s="1" t="s">
        <v>53</v>
      </c>
      <c r="D19" s="4">
        <f>4440000*20</f>
        <v>88800000</v>
      </c>
      <c r="E19" t="s">
        <v>20</v>
      </c>
      <c r="F19">
        <f>12900000*20</f>
        <v>258000000</v>
      </c>
      <c r="G19" s="4">
        <f t="shared" ref="G19:G23" si="0">F19-D19</f>
        <v>169200000</v>
      </c>
      <c r="H19" s="4"/>
      <c r="I19" s="4"/>
      <c r="J19" s="7"/>
    </row>
    <row r="20" spans="1:10">
      <c r="A20" t="s">
        <v>25</v>
      </c>
      <c r="B20" t="s">
        <v>26</v>
      </c>
      <c r="C20" s="1" t="s">
        <v>53</v>
      </c>
      <c r="D20" s="4">
        <f>1490000*20</f>
        <v>29800000</v>
      </c>
      <c r="E20" t="s">
        <v>20</v>
      </c>
      <c r="F20">
        <f>8700000*20</f>
        <v>174000000</v>
      </c>
      <c r="G20" s="4">
        <f t="shared" si="0"/>
        <v>144200000</v>
      </c>
      <c r="H20" s="4"/>
      <c r="I20" s="4"/>
      <c r="J20" s="7"/>
    </row>
    <row r="21" spans="1:10">
      <c r="A21" t="s">
        <v>25</v>
      </c>
      <c r="B21" t="s">
        <v>27</v>
      </c>
      <c r="C21" s="1" t="s">
        <v>53</v>
      </c>
      <c r="D21" s="4">
        <f>1500000*20</f>
        <v>30000000</v>
      </c>
      <c r="E21" t="s">
        <v>20</v>
      </c>
      <c r="F21">
        <f>6000000*20</f>
        <v>120000000</v>
      </c>
      <c r="G21" s="4">
        <f t="shared" si="0"/>
        <v>90000000</v>
      </c>
      <c r="H21" s="4"/>
      <c r="I21" s="4"/>
      <c r="J21" s="7"/>
    </row>
    <row r="22" spans="1:10">
      <c r="A22" t="s">
        <v>25</v>
      </c>
      <c r="B22" t="s">
        <v>28</v>
      </c>
      <c r="C22" s="1" t="s">
        <v>53</v>
      </c>
      <c r="D22" s="4">
        <f>800000*20</f>
        <v>16000000</v>
      </c>
      <c r="E22" t="s">
        <v>20</v>
      </c>
      <c r="F22">
        <f>4800000*20</f>
        <v>96000000</v>
      </c>
      <c r="G22" s="4">
        <f t="shared" si="0"/>
        <v>80000000</v>
      </c>
      <c r="H22" s="4"/>
      <c r="I22" s="4"/>
      <c r="J22" s="7"/>
    </row>
    <row r="23" spans="1:10">
      <c r="A23" t="s">
        <v>25</v>
      </c>
      <c r="B23" t="s">
        <v>29</v>
      </c>
      <c r="C23" s="1" t="s">
        <v>53</v>
      </c>
      <c r="D23" s="4">
        <f>540000*20</f>
        <v>10800000</v>
      </c>
      <c r="E23" t="s">
        <v>20</v>
      </c>
      <c r="F23" s="8">
        <f>4900000*20</f>
        <v>98000000</v>
      </c>
      <c r="G23" s="4">
        <f t="shared" si="0"/>
        <v>87200000</v>
      </c>
      <c r="H23" s="4"/>
      <c r="I23" s="4"/>
      <c r="J23" s="7"/>
    </row>
    <row r="24" spans="1:10">
      <c r="C24" s="1"/>
      <c r="D24" s="4"/>
      <c r="F24" s="4"/>
      <c r="G24" s="4"/>
      <c r="H24" s="4"/>
      <c r="I24" s="4"/>
    </row>
    <row r="25" spans="1:10">
      <c r="A25" t="s">
        <v>30</v>
      </c>
      <c r="B25" t="s">
        <v>33</v>
      </c>
      <c r="C25" s="1" t="s">
        <v>53</v>
      </c>
      <c r="D25" s="4">
        <f>5900*20</f>
        <v>118000</v>
      </c>
      <c r="E25" t="s">
        <v>20</v>
      </c>
      <c r="F25" s="9">
        <f>21000*20</f>
        <v>420000</v>
      </c>
      <c r="G25" s="4">
        <f t="shared" ref="G25:G29" si="1">F25-D25</f>
        <v>302000</v>
      </c>
      <c r="H25" s="4"/>
      <c r="I25" s="4"/>
      <c r="J25" s="7"/>
    </row>
    <row r="26" spans="1:10">
      <c r="A26" t="s">
        <v>30</v>
      </c>
      <c r="B26" t="s">
        <v>26</v>
      </c>
      <c r="C26" s="1" t="s">
        <v>53</v>
      </c>
      <c r="D26" s="4">
        <f>390*20</f>
        <v>7800</v>
      </c>
      <c r="E26" t="s">
        <v>20</v>
      </c>
      <c r="F26" s="9">
        <f>3800*20</f>
        <v>76000</v>
      </c>
      <c r="G26" s="4">
        <f t="shared" si="1"/>
        <v>68200</v>
      </c>
      <c r="H26" s="4"/>
      <c r="I26" s="4"/>
      <c r="J26" s="7"/>
    </row>
    <row r="27" spans="1:10">
      <c r="A27" t="s">
        <v>30</v>
      </c>
      <c r="B27" t="s">
        <v>27</v>
      </c>
      <c r="C27" s="1" t="s">
        <v>53</v>
      </c>
      <c r="D27" s="4">
        <f>340*20</f>
        <v>6800</v>
      </c>
      <c r="E27" t="s">
        <v>20</v>
      </c>
      <c r="F27" s="9">
        <f>5900*20</f>
        <v>118000</v>
      </c>
      <c r="G27" s="4">
        <f t="shared" si="1"/>
        <v>111200</v>
      </c>
      <c r="H27" s="4"/>
      <c r="I27" s="4"/>
      <c r="J27" s="7"/>
    </row>
    <row r="28" spans="1:10">
      <c r="A28" t="s">
        <v>30</v>
      </c>
      <c r="B28" t="s">
        <v>28</v>
      </c>
      <c r="C28" s="1" t="s">
        <v>53</v>
      </c>
      <c r="D28" s="4">
        <f>890*20</f>
        <v>17800</v>
      </c>
      <c r="E28" t="s">
        <v>20</v>
      </c>
      <c r="F28" s="9">
        <f>29100*20</f>
        <v>582000</v>
      </c>
      <c r="G28" s="4">
        <f t="shared" si="1"/>
        <v>564200</v>
      </c>
      <c r="H28" s="4"/>
      <c r="I28" s="4"/>
      <c r="J28" s="7"/>
    </row>
    <row r="29" spans="1:10">
      <c r="A29" t="s">
        <v>30</v>
      </c>
      <c r="B29" t="s">
        <v>29</v>
      </c>
      <c r="C29" s="1" t="s">
        <v>53</v>
      </c>
      <c r="D29" s="4">
        <f>310*20</f>
        <v>6200</v>
      </c>
      <c r="E29" t="s">
        <v>20</v>
      </c>
      <c r="F29" s="9">
        <f>4400*20</f>
        <v>88000</v>
      </c>
      <c r="G29" s="4">
        <f t="shared" si="1"/>
        <v>81800</v>
      </c>
      <c r="H29" s="4"/>
      <c r="I29" s="4"/>
      <c r="J29" s="7"/>
    </row>
    <row r="30" spans="1:10">
      <c r="D30" s="4"/>
      <c r="I30" s="4"/>
    </row>
    <row r="31" spans="1:10">
      <c r="A31" t="s">
        <v>31</v>
      </c>
      <c r="B31" t="s">
        <v>33</v>
      </c>
      <c r="C31" s="1" t="s">
        <v>53</v>
      </c>
      <c r="D31" s="4">
        <f>47000*20</f>
        <v>940000</v>
      </c>
      <c r="E31" t="s">
        <v>20</v>
      </c>
      <c r="F31">
        <f>280000*20</f>
        <v>5600000</v>
      </c>
      <c r="G31" s="4">
        <f t="shared" ref="G31:G35" si="2">F31-D31</f>
        <v>4660000</v>
      </c>
      <c r="H31" s="4"/>
      <c r="I31" s="4"/>
      <c r="J31" s="7"/>
    </row>
    <row r="32" spans="1:10">
      <c r="A32" t="s">
        <v>31</v>
      </c>
      <c r="B32" t="s">
        <v>26</v>
      </c>
      <c r="C32" s="1" t="s">
        <v>53</v>
      </c>
      <c r="D32" s="4">
        <f>160*20</f>
        <v>3200</v>
      </c>
      <c r="E32" t="s">
        <v>20</v>
      </c>
      <c r="F32">
        <f>72000*20</f>
        <v>1440000</v>
      </c>
      <c r="G32" s="4">
        <f t="shared" si="2"/>
        <v>1436800</v>
      </c>
      <c r="H32" s="4"/>
      <c r="I32" s="4"/>
      <c r="J32" s="7"/>
    </row>
    <row r="33" spans="1:12">
      <c r="A33" t="s">
        <v>31</v>
      </c>
      <c r="B33" t="s">
        <v>27</v>
      </c>
      <c r="C33" s="1" t="s">
        <v>53</v>
      </c>
      <c r="D33" s="4">
        <f>580*20</f>
        <v>11600</v>
      </c>
      <c r="E33" t="s">
        <v>20</v>
      </c>
      <c r="F33">
        <f>80000*20</f>
        <v>1600000</v>
      </c>
      <c r="G33" s="4">
        <f t="shared" si="2"/>
        <v>1588400</v>
      </c>
      <c r="H33" s="4"/>
      <c r="I33" s="4"/>
      <c r="J33" s="7"/>
    </row>
    <row r="34" spans="1:12">
      <c r="A34" t="s">
        <v>31</v>
      </c>
      <c r="B34" t="s">
        <v>28</v>
      </c>
      <c r="C34" s="1" t="s">
        <v>53</v>
      </c>
      <c r="D34" s="4">
        <f>168*20</f>
        <v>3360</v>
      </c>
      <c r="E34" t="s">
        <v>20</v>
      </c>
      <c r="F34">
        <f>220000*20</f>
        <v>4400000</v>
      </c>
      <c r="G34" s="4">
        <f t="shared" si="2"/>
        <v>4396640</v>
      </c>
      <c r="H34" s="4"/>
      <c r="I34" s="4"/>
      <c r="J34" s="7"/>
    </row>
    <row r="35" spans="1:12">
      <c r="A35" t="s">
        <v>31</v>
      </c>
      <c r="B35" t="s">
        <v>29</v>
      </c>
      <c r="C35" s="1" t="s">
        <v>53</v>
      </c>
      <c r="D35" s="4">
        <f>700*20</f>
        <v>14000</v>
      </c>
      <c r="E35" t="s">
        <v>20</v>
      </c>
      <c r="F35">
        <f>57000*20</f>
        <v>1140000</v>
      </c>
      <c r="G35" s="4">
        <f t="shared" si="2"/>
        <v>1126000</v>
      </c>
      <c r="H35" s="4"/>
      <c r="I35" s="4"/>
      <c r="J35" s="7"/>
    </row>
    <row r="36" spans="1:12">
      <c r="D36" s="4"/>
      <c r="I36" s="4"/>
      <c r="J36" s="7"/>
    </row>
    <row r="37" spans="1:12">
      <c r="A37" t="s">
        <v>32</v>
      </c>
      <c r="B37" t="s">
        <v>33</v>
      </c>
      <c r="C37" s="1" t="s">
        <v>53</v>
      </c>
      <c r="D37" s="4">
        <f>36200*20</f>
        <v>724000</v>
      </c>
      <c r="E37" t="s">
        <v>20</v>
      </c>
      <c r="F37">
        <f>840000*20</f>
        <v>16800000</v>
      </c>
      <c r="G37" s="4">
        <f t="shared" ref="G37:G41" si="3">F37-D37</f>
        <v>16076000</v>
      </c>
      <c r="H37" s="4"/>
      <c r="I37" s="4"/>
      <c r="J37" s="7"/>
    </row>
    <row r="38" spans="1:12">
      <c r="A38" t="s">
        <v>32</v>
      </c>
      <c r="B38" t="s">
        <v>26</v>
      </c>
      <c r="C38" s="1" t="s">
        <v>53</v>
      </c>
      <c r="D38" s="4">
        <f>9600*20</f>
        <v>192000</v>
      </c>
      <c r="E38" t="s">
        <v>20</v>
      </c>
      <c r="F38">
        <f>3050000*20</f>
        <v>61000000</v>
      </c>
      <c r="G38" s="4">
        <f t="shared" si="3"/>
        <v>60808000</v>
      </c>
      <c r="H38" s="4"/>
      <c r="I38" s="4"/>
      <c r="J38" s="7"/>
    </row>
    <row r="39" spans="1:12">
      <c r="A39" t="s">
        <v>32</v>
      </c>
      <c r="B39" t="s">
        <v>27</v>
      </c>
      <c r="C39" s="1" t="s">
        <v>53</v>
      </c>
      <c r="D39" s="4">
        <f>9700*20</f>
        <v>194000</v>
      </c>
      <c r="E39" t="s">
        <v>20</v>
      </c>
      <c r="F39">
        <f>820000*20</f>
        <v>16400000</v>
      </c>
      <c r="G39" s="4">
        <f t="shared" si="3"/>
        <v>16206000</v>
      </c>
      <c r="H39" s="4"/>
      <c r="I39" s="4"/>
      <c r="J39" s="7"/>
    </row>
    <row r="40" spans="1:12">
      <c r="A40" t="s">
        <v>32</v>
      </c>
      <c r="B40" t="s">
        <v>28</v>
      </c>
      <c r="C40" s="1" t="s">
        <v>53</v>
      </c>
      <c r="D40" s="4">
        <f>7000*20</f>
        <v>140000</v>
      </c>
      <c r="E40" t="s">
        <v>20</v>
      </c>
      <c r="F40">
        <f>1070000*20</f>
        <v>21400000</v>
      </c>
      <c r="G40" s="4">
        <f t="shared" si="3"/>
        <v>21260000</v>
      </c>
      <c r="H40" s="4"/>
      <c r="I40" s="4"/>
      <c r="J40" s="7"/>
    </row>
    <row r="41" spans="1:12">
      <c r="A41" t="s">
        <v>32</v>
      </c>
      <c r="B41" t="s">
        <v>29</v>
      </c>
      <c r="C41" s="1" t="s">
        <v>53</v>
      </c>
      <c r="D41" s="4">
        <f>5300*20</f>
        <v>106000</v>
      </c>
      <c r="E41" t="s">
        <v>20</v>
      </c>
      <c r="F41" s="8">
        <f>1530000*20</f>
        <v>30600000</v>
      </c>
      <c r="G41" s="4">
        <f t="shared" si="3"/>
        <v>30494000</v>
      </c>
      <c r="H41" s="4"/>
      <c r="I41" s="4"/>
      <c r="J41" s="7"/>
    </row>
    <row r="42" spans="1:12">
      <c r="L42" s="7"/>
    </row>
    <row r="44" spans="1:12">
      <c r="A44" s="1" t="s">
        <v>0</v>
      </c>
      <c r="B44" s="1" t="s">
        <v>1</v>
      </c>
      <c r="C44" s="1"/>
      <c r="D44" s="1"/>
    </row>
    <row r="45" spans="1:12">
      <c r="A45" s="1" t="s">
        <v>2</v>
      </c>
      <c r="B45" s="1">
        <v>5</v>
      </c>
      <c r="C45" s="1"/>
      <c r="D45" s="1"/>
    </row>
    <row r="46" spans="1:12">
      <c r="A46" s="2" t="s">
        <v>3</v>
      </c>
      <c r="B46" s="1">
        <v>100</v>
      </c>
      <c r="C46" s="2"/>
      <c r="D46" s="1"/>
    </row>
    <row r="47" spans="1:12">
      <c r="A47" s="1" t="s">
        <v>4</v>
      </c>
      <c r="B47" s="1" t="s">
        <v>55</v>
      </c>
      <c r="C47" s="1"/>
      <c r="D47" s="1" t="s">
        <v>56</v>
      </c>
    </row>
    <row r="48" spans="1:12">
      <c r="A48" s="1" t="s">
        <v>6</v>
      </c>
      <c r="B48" s="1"/>
      <c r="C48" s="1"/>
      <c r="D48" s="1"/>
    </row>
    <row r="49" spans="1:8">
      <c r="A49" s="1" t="s">
        <v>7</v>
      </c>
      <c r="B49" s="1" t="s">
        <v>58</v>
      </c>
      <c r="C49" s="1"/>
      <c r="D49" s="1" t="s">
        <v>57</v>
      </c>
    </row>
    <row r="50" spans="1:8">
      <c r="A50" s="1"/>
      <c r="B50" s="1"/>
      <c r="C50" s="1"/>
    </row>
    <row r="51" spans="1:8">
      <c r="A51" s="2" t="s">
        <v>9</v>
      </c>
      <c r="B51" s="1"/>
      <c r="C51" s="1"/>
    </row>
    <row r="52" spans="1:8">
      <c r="A52" s="1" t="s">
        <v>59</v>
      </c>
      <c r="B52" s="1"/>
      <c r="C52" s="1"/>
    </row>
    <row r="53" spans="1:8" ht="17" customHeight="1">
      <c r="A53" s="1"/>
      <c r="B53" s="1"/>
      <c r="C53" s="1"/>
    </row>
    <row r="54" spans="1:8">
      <c r="A54" s="1"/>
      <c r="B54" s="1"/>
      <c r="C54" s="2" t="s">
        <v>12</v>
      </c>
      <c r="E54" t="s">
        <v>13</v>
      </c>
      <c r="F54" s="3" t="s">
        <v>7</v>
      </c>
    </row>
    <row r="55" spans="1:8">
      <c r="B55" s="1" t="s">
        <v>14</v>
      </c>
      <c r="C55" s="1" t="s">
        <v>15</v>
      </c>
      <c r="D55" t="s">
        <v>16</v>
      </c>
      <c r="E55" t="s">
        <v>15</v>
      </c>
      <c r="F55" t="s">
        <v>15</v>
      </c>
      <c r="G55" t="s">
        <v>17</v>
      </c>
      <c r="H55" s="3"/>
    </row>
    <row r="56" spans="1:8">
      <c r="A56" s="1" t="s">
        <v>59</v>
      </c>
      <c r="B56" s="1" t="s">
        <v>53</v>
      </c>
      <c r="C56" s="7">
        <v>3000000000</v>
      </c>
      <c r="D56" t="s">
        <v>20</v>
      </c>
      <c r="E56" s="7">
        <v>5600000000</v>
      </c>
      <c r="F56" s="4">
        <v>2600000000</v>
      </c>
      <c r="G56" s="4">
        <v>560000000</v>
      </c>
      <c r="H56" s="4"/>
    </row>
    <row r="58" spans="1:8">
      <c r="A58" s="1"/>
      <c r="C58" s="1" t="s">
        <v>12</v>
      </c>
      <c r="D58" s="2" t="s">
        <v>12</v>
      </c>
      <c r="E58" t="s">
        <v>13</v>
      </c>
      <c r="F58" t="s">
        <v>13</v>
      </c>
      <c r="G58" s="3" t="s">
        <v>7</v>
      </c>
    </row>
    <row r="59" spans="1:8">
      <c r="A59" s="2" t="s">
        <v>22</v>
      </c>
      <c r="C59" s="2" t="s">
        <v>23</v>
      </c>
      <c r="D59" s="2" t="s">
        <v>15</v>
      </c>
      <c r="E59" s="3" t="s">
        <v>24</v>
      </c>
      <c r="F59" s="3" t="s">
        <v>15</v>
      </c>
      <c r="G59" s="3" t="s">
        <v>15</v>
      </c>
    </row>
    <row r="60" spans="1:8">
      <c r="A60" t="s">
        <v>25</v>
      </c>
      <c r="B60" t="s">
        <v>33</v>
      </c>
      <c r="C60" s="1" t="s">
        <v>53</v>
      </c>
      <c r="D60" s="4">
        <v>4600</v>
      </c>
      <c r="E60" t="s">
        <v>20</v>
      </c>
      <c r="F60" s="4">
        <v>21000000</v>
      </c>
      <c r="G60" s="4">
        <f>F60-D60</f>
        <v>20995400</v>
      </c>
    </row>
    <row r="61" spans="1:8">
      <c r="A61" t="s">
        <v>25</v>
      </c>
      <c r="B61" t="s">
        <v>26</v>
      </c>
      <c r="C61" s="1" t="s">
        <v>53</v>
      </c>
      <c r="D61" s="4">
        <v>65000</v>
      </c>
      <c r="E61" t="s">
        <v>20</v>
      </c>
      <c r="F61" s="4">
        <v>66000000</v>
      </c>
      <c r="G61" s="4">
        <f t="shared" ref="G61:G64" si="4">F61-D61</f>
        <v>65935000</v>
      </c>
    </row>
    <row r="62" spans="1:8">
      <c r="A62" t="s">
        <v>25</v>
      </c>
      <c r="B62" t="s">
        <v>27</v>
      </c>
      <c r="C62" s="1" t="s">
        <v>53</v>
      </c>
      <c r="D62" s="4">
        <v>13000</v>
      </c>
      <c r="E62" t="s">
        <v>20</v>
      </c>
      <c r="F62" s="4">
        <v>21200000</v>
      </c>
      <c r="G62" s="4">
        <f t="shared" si="4"/>
        <v>21187000</v>
      </c>
    </row>
    <row r="63" spans="1:8">
      <c r="A63" t="s">
        <v>25</v>
      </c>
      <c r="B63" t="s">
        <v>28</v>
      </c>
      <c r="C63" s="1" t="s">
        <v>53</v>
      </c>
      <c r="D63" s="4">
        <v>240</v>
      </c>
      <c r="E63" t="s">
        <v>20</v>
      </c>
      <c r="F63" s="4">
        <v>6900000</v>
      </c>
      <c r="G63" s="4">
        <f t="shared" si="4"/>
        <v>6899760</v>
      </c>
    </row>
    <row r="64" spans="1:8">
      <c r="A64" t="s">
        <v>25</v>
      </c>
      <c r="B64" t="s">
        <v>29</v>
      </c>
      <c r="C64" s="1" t="s">
        <v>53</v>
      </c>
      <c r="D64" s="4">
        <v>70000</v>
      </c>
      <c r="E64" t="s">
        <v>20</v>
      </c>
      <c r="F64" s="4">
        <v>42000000</v>
      </c>
      <c r="G64" s="4">
        <f t="shared" si="4"/>
        <v>41930000</v>
      </c>
    </row>
    <row r="65" spans="1:7">
      <c r="C65" s="1"/>
      <c r="D65" s="4"/>
      <c r="F65" s="4"/>
      <c r="G65" s="4"/>
    </row>
    <row r="66" spans="1:7">
      <c r="A66" t="s">
        <v>30</v>
      </c>
      <c r="B66" t="s">
        <v>33</v>
      </c>
      <c r="C66" s="1" t="s">
        <v>53</v>
      </c>
      <c r="D66" s="4">
        <v>870</v>
      </c>
      <c r="E66" t="s">
        <v>20</v>
      </c>
      <c r="F66" s="4">
        <v>24000</v>
      </c>
      <c r="G66" s="4">
        <f t="shared" ref="G66:G70" si="5">F66-D66</f>
        <v>23130</v>
      </c>
    </row>
    <row r="67" spans="1:7">
      <c r="A67" t="s">
        <v>30</v>
      </c>
      <c r="B67" t="s">
        <v>26</v>
      </c>
      <c r="C67" s="1" t="s">
        <v>53</v>
      </c>
      <c r="D67" s="4">
        <v>126</v>
      </c>
      <c r="E67" t="s">
        <v>20</v>
      </c>
      <c r="F67" s="4">
        <v>21000</v>
      </c>
      <c r="G67" s="4">
        <f t="shared" si="5"/>
        <v>20874</v>
      </c>
    </row>
    <row r="68" spans="1:7">
      <c r="A68" t="s">
        <v>30</v>
      </c>
      <c r="B68" t="s">
        <v>27</v>
      </c>
      <c r="C68" s="1" t="s">
        <v>53</v>
      </c>
      <c r="D68" s="4">
        <v>7200</v>
      </c>
      <c r="E68" t="s">
        <v>20</v>
      </c>
      <c r="F68" s="4">
        <v>25000</v>
      </c>
      <c r="G68" s="4">
        <f t="shared" si="5"/>
        <v>17800</v>
      </c>
    </row>
    <row r="69" spans="1:7">
      <c r="A69" t="s">
        <v>30</v>
      </c>
      <c r="B69" t="s">
        <v>28</v>
      </c>
      <c r="C69" s="1" t="s">
        <v>53</v>
      </c>
      <c r="D69" s="4">
        <v>9</v>
      </c>
      <c r="E69" t="s">
        <v>20</v>
      </c>
      <c r="F69" s="4">
        <v>10000</v>
      </c>
      <c r="G69" s="4">
        <f t="shared" si="5"/>
        <v>9991</v>
      </c>
    </row>
    <row r="70" spans="1:7">
      <c r="A70" t="s">
        <v>30</v>
      </c>
      <c r="B70" t="s">
        <v>29</v>
      </c>
      <c r="C70" s="1" t="s">
        <v>53</v>
      </c>
      <c r="D70" s="4">
        <v>2100</v>
      </c>
      <c r="E70" t="s">
        <v>20</v>
      </c>
      <c r="F70" s="4">
        <v>8900</v>
      </c>
      <c r="G70" s="4">
        <f t="shared" si="5"/>
        <v>6800</v>
      </c>
    </row>
    <row r="71" spans="1:7">
      <c r="D71" s="4"/>
      <c r="F71" s="4"/>
    </row>
    <row r="72" spans="1:7">
      <c r="A72" t="s">
        <v>31</v>
      </c>
      <c r="B72" t="s">
        <v>33</v>
      </c>
      <c r="C72" s="1" t="s">
        <v>53</v>
      </c>
      <c r="D72" s="4">
        <v>1</v>
      </c>
      <c r="E72" t="s">
        <v>20</v>
      </c>
      <c r="F72" s="4">
        <v>2300</v>
      </c>
      <c r="G72" s="4">
        <f t="shared" ref="G72:G76" si="6">F72-D72</f>
        <v>2299</v>
      </c>
    </row>
    <row r="73" spans="1:7">
      <c r="A73" t="s">
        <v>31</v>
      </c>
      <c r="B73" t="s">
        <v>26</v>
      </c>
      <c r="C73" s="1" t="s">
        <v>53</v>
      </c>
      <c r="D73" s="4">
        <v>210</v>
      </c>
      <c r="E73" t="s">
        <v>20</v>
      </c>
      <c r="F73" s="4">
        <v>6100</v>
      </c>
      <c r="G73" s="4">
        <f t="shared" si="6"/>
        <v>5890</v>
      </c>
    </row>
    <row r="74" spans="1:7">
      <c r="A74" t="s">
        <v>31</v>
      </c>
      <c r="B74" t="s">
        <v>27</v>
      </c>
      <c r="C74" s="1" t="s">
        <v>53</v>
      </c>
      <c r="D74" s="4">
        <v>25</v>
      </c>
      <c r="E74" t="s">
        <v>20</v>
      </c>
      <c r="F74" s="4">
        <v>5000</v>
      </c>
      <c r="G74" s="4">
        <f t="shared" si="6"/>
        <v>4975</v>
      </c>
    </row>
    <row r="75" spans="1:7">
      <c r="A75" t="s">
        <v>31</v>
      </c>
      <c r="B75" t="s">
        <v>28</v>
      </c>
      <c r="C75" s="1" t="s">
        <v>53</v>
      </c>
      <c r="D75" s="4">
        <v>1</v>
      </c>
      <c r="E75" t="s">
        <v>20</v>
      </c>
      <c r="F75" s="4">
        <v>2300</v>
      </c>
      <c r="G75" s="4">
        <f t="shared" si="6"/>
        <v>2299</v>
      </c>
    </row>
    <row r="76" spans="1:7">
      <c r="A76" t="s">
        <v>31</v>
      </c>
      <c r="B76" t="s">
        <v>29</v>
      </c>
      <c r="C76" s="1" t="s">
        <v>53</v>
      </c>
      <c r="D76" s="4">
        <v>2</v>
      </c>
      <c r="E76" t="s">
        <v>20</v>
      </c>
      <c r="F76" s="4">
        <v>16300</v>
      </c>
      <c r="G76" s="4">
        <f t="shared" si="6"/>
        <v>16298</v>
      </c>
    </row>
    <row r="77" spans="1:7">
      <c r="D77" s="4"/>
      <c r="F77" s="4"/>
    </row>
    <row r="78" spans="1:7">
      <c r="A78" t="s">
        <v>32</v>
      </c>
      <c r="B78" t="s">
        <v>33</v>
      </c>
      <c r="C78" s="1" t="s">
        <v>53</v>
      </c>
      <c r="D78" s="4">
        <v>2280000</v>
      </c>
      <c r="E78" t="s">
        <v>20</v>
      </c>
      <c r="F78" s="4">
        <v>163000000</v>
      </c>
      <c r="G78" s="4">
        <f t="shared" ref="G78:G82" si="7">F78-D78</f>
        <v>160720000</v>
      </c>
    </row>
    <row r="79" spans="1:7">
      <c r="A79" t="s">
        <v>32</v>
      </c>
      <c r="B79" t="s">
        <v>26</v>
      </c>
      <c r="C79" s="1" t="s">
        <v>53</v>
      </c>
      <c r="D79" s="4">
        <v>1470000</v>
      </c>
      <c r="E79" t="s">
        <v>20</v>
      </c>
      <c r="F79" s="4">
        <v>166000000</v>
      </c>
      <c r="G79" s="4">
        <f t="shared" si="7"/>
        <v>164530000</v>
      </c>
    </row>
    <row r="80" spans="1:7">
      <c r="A80" t="s">
        <v>32</v>
      </c>
      <c r="B80" t="s">
        <v>27</v>
      </c>
      <c r="C80" s="1" t="s">
        <v>53</v>
      </c>
      <c r="D80" s="4">
        <v>1460000</v>
      </c>
      <c r="E80" t="s">
        <v>20</v>
      </c>
      <c r="F80" s="4">
        <v>148000000</v>
      </c>
      <c r="G80" s="4">
        <f t="shared" si="7"/>
        <v>146540000</v>
      </c>
    </row>
    <row r="81" spans="1:11">
      <c r="A81" t="s">
        <v>32</v>
      </c>
      <c r="B81" t="s">
        <v>28</v>
      </c>
      <c r="C81" s="1" t="s">
        <v>53</v>
      </c>
      <c r="D81" s="4">
        <v>127000</v>
      </c>
      <c r="E81" t="s">
        <v>20</v>
      </c>
      <c r="F81" s="4">
        <v>58000000</v>
      </c>
      <c r="G81" s="4">
        <f t="shared" si="7"/>
        <v>57873000</v>
      </c>
    </row>
    <row r="82" spans="1:11">
      <c r="A82" t="s">
        <v>32</v>
      </c>
      <c r="B82" t="s">
        <v>29</v>
      </c>
      <c r="C82" s="1" t="s">
        <v>53</v>
      </c>
      <c r="D82" s="4">
        <v>4600000</v>
      </c>
      <c r="E82" t="s">
        <v>20</v>
      </c>
      <c r="F82" s="4">
        <v>116000000</v>
      </c>
      <c r="G82" s="4">
        <f t="shared" si="7"/>
        <v>111400000</v>
      </c>
    </row>
    <row r="83" spans="1:11">
      <c r="K83" s="7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8"/>
  <sheetViews>
    <sheetView tabSelected="1" topLeftCell="A34" workbookViewId="0">
      <selection activeCell="G9" sqref="G9"/>
    </sheetView>
  </sheetViews>
  <sheetFormatPr baseColWidth="10" defaultRowHeight="15"/>
  <sheetData>
    <row r="1" spans="1:7">
      <c r="A1" t="s">
        <v>60</v>
      </c>
    </row>
    <row r="3" spans="1:7">
      <c r="A3" t="s">
        <v>82</v>
      </c>
    </row>
    <row r="5" spans="1:7">
      <c r="A5" t="s">
        <v>61</v>
      </c>
      <c r="B5" s="10"/>
      <c r="C5" s="10" t="s">
        <v>62</v>
      </c>
      <c r="D5" s="10"/>
      <c r="E5" s="10"/>
      <c r="F5" s="10"/>
      <c r="G5" s="10"/>
    </row>
    <row r="6" spans="1:7">
      <c r="A6" t="s">
        <v>72</v>
      </c>
      <c r="B6" s="10" t="s">
        <v>63</v>
      </c>
      <c r="C6" s="10" t="s">
        <v>64</v>
      </c>
      <c r="D6" s="10"/>
      <c r="E6" s="10"/>
      <c r="F6" s="10"/>
      <c r="G6" s="10"/>
    </row>
    <row r="7" spans="1:7">
      <c r="A7" t="s">
        <v>73</v>
      </c>
      <c r="B7" s="10" t="s">
        <v>65</v>
      </c>
      <c r="C7" s="10" t="s">
        <v>66</v>
      </c>
      <c r="D7" s="10"/>
      <c r="E7" s="10"/>
      <c r="F7" s="10"/>
      <c r="G7" s="10"/>
    </row>
    <row r="8" spans="1:7">
      <c r="A8" t="s">
        <v>74</v>
      </c>
      <c r="B8" s="10" t="s">
        <v>67</v>
      </c>
      <c r="C8" s="10" t="s">
        <v>66</v>
      </c>
      <c r="D8" s="10"/>
      <c r="E8" s="10"/>
      <c r="F8" s="10"/>
      <c r="G8" s="10"/>
    </row>
    <row r="9" spans="1:7">
      <c r="A9" s="10"/>
      <c r="B9" s="10"/>
      <c r="C9" s="10"/>
      <c r="D9" s="10"/>
      <c r="E9" s="10"/>
      <c r="F9" s="10"/>
    </row>
    <row r="10" spans="1:7">
      <c r="A10" s="10"/>
      <c r="B10" s="10"/>
      <c r="C10" s="10" t="s">
        <v>42</v>
      </c>
      <c r="D10" s="10" t="s">
        <v>15</v>
      </c>
      <c r="E10" s="10" t="s">
        <v>68</v>
      </c>
    </row>
    <row r="11" spans="1:7">
      <c r="A11" s="10" t="s">
        <v>75</v>
      </c>
      <c r="B11" s="10" t="s">
        <v>13</v>
      </c>
      <c r="C11" s="10" t="s">
        <v>69</v>
      </c>
      <c r="D11" s="11">
        <v>1960000000</v>
      </c>
      <c r="E11" s="10"/>
    </row>
    <row r="12" spans="1:7">
      <c r="A12" s="10"/>
      <c r="B12" s="10" t="s">
        <v>70</v>
      </c>
      <c r="C12" s="10" t="s">
        <v>80</v>
      </c>
      <c r="D12" s="11">
        <v>1480000000</v>
      </c>
      <c r="E12" s="10"/>
    </row>
    <row r="13" spans="1:7">
      <c r="A13" s="10"/>
      <c r="B13" s="10" t="s">
        <v>7</v>
      </c>
      <c r="C13" s="10"/>
      <c r="D13" s="11">
        <v>480000000</v>
      </c>
      <c r="E13" s="10">
        <v>0.324324324</v>
      </c>
    </row>
    <row r="14" spans="1:7">
      <c r="A14" s="10"/>
      <c r="B14" s="10"/>
      <c r="C14" s="10"/>
      <c r="D14" s="10"/>
      <c r="E14" s="10"/>
    </row>
    <row r="15" spans="1:7">
      <c r="A15" s="10" t="s">
        <v>76</v>
      </c>
      <c r="B15" s="10" t="s">
        <v>13</v>
      </c>
      <c r="C15" s="10" t="s">
        <v>69</v>
      </c>
      <c r="D15" s="11">
        <v>1820000000</v>
      </c>
      <c r="E15" s="10"/>
    </row>
    <row r="16" spans="1:7">
      <c r="A16" s="10"/>
      <c r="B16" s="10" t="s">
        <v>71</v>
      </c>
      <c r="C16" s="10" t="s">
        <v>80</v>
      </c>
      <c r="D16" s="11">
        <v>1020000000</v>
      </c>
      <c r="E16" s="10"/>
    </row>
    <row r="17" spans="1:16">
      <c r="A17" s="10"/>
      <c r="B17" s="10" t="s">
        <v>7</v>
      </c>
      <c r="C17" s="10"/>
      <c r="D17" s="11">
        <v>800000000</v>
      </c>
      <c r="E17" s="10">
        <v>0.78431372499999996</v>
      </c>
    </row>
    <row r="18" spans="1:16">
      <c r="A18" s="22"/>
      <c r="B18" s="22"/>
      <c r="C18" s="22"/>
      <c r="D18" s="23"/>
      <c r="E18" s="22"/>
      <c r="F18" s="13"/>
      <c r="G18" s="13"/>
      <c r="H18" s="13"/>
      <c r="I18" s="13"/>
      <c r="J18" s="13"/>
    </row>
    <row r="19" spans="1:16">
      <c r="A19" s="17" t="s">
        <v>75</v>
      </c>
      <c r="B19" s="18"/>
      <c r="C19" s="18"/>
      <c r="D19" s="18"/>
      <c r="E19" s="26"/>
      <c r="F19" s="26" t="s">
        <v>12</v>
      </c>
      <c r="G19" s="21"/>
      <c r="H19" s="24"/>
      <c r="I19" s="17" t="s">
        <v>76</v>
      </c>
      <c r="J19" s="26"/>
      <c r="K19" s="18"/>
      <c r="L19" s="18"/>
      <c r="M19" s="26"/>
      <c r="N19" s="26" t="s">
        <v>12</v>
      </c>
      <c r="O19" s="21"/>
      <c r="P19" s="24"/>
    </row>
    <row r="20" spans="1:16">
      <c r="A20" s="12"/>
      <c r="B20" s="13"/>
      <c r="C20" s="19" t="s">
        <v>13</v>
      </c>
      <c r="D20" s="19" t="s">
        <v>15</v>
      </c>
      <c r="E20" s="19" t="s">
        <v>12</v>
      </c>
      <c r="F20" s="19" t="s">
        <v>15</v>
      </c>
      <c r="G20" s="20" t="s">
        <v>81</v>
      </c>
      <c r="H20" s="13"/>
      <c r="I20" s="12"/>
      <c r="J20" s="13"/>
      <c r="K20" s="19" t="s">
        <v>13</v>
      </c>
      <c r="L20" s="19" t="s">
        <v>15</v>
      </c>
      <c r="M20" s="19" t="s">
        <v>12</v>
      </c>
      <c r="N20" s="19" t="s">
        <v>15</v>
      </c>
      <c r="O20" s="20" t="s">
        <v>81</v>
      </c>
      <c r="P20" s="13"/>
    </row>
    <row r="21" spans="1:16">
      <c r="A21" s="12" t="s">
        <v>77</v>
      </c>
      <c r="B21" s="13" t="s">
        <v>33</v>
      </c>
      <c r="C21" s="13" t="s">
        <v>69</v>
      </c>
      <c r="D21" s="13">
        <v>30</v>
      </c>
      <c r="E21" s="13" t="s">
        <v>80</v>
      </c>
      <c r="F21" s="15">
        <v>5</v>
      </c>
      <c r="G21" s="16">
        <v>25</v>
      </c>
      <c r="H21" s="13"/>
      <c r="I21" s="12" t="s">
        <v>77</v>
      </c>
      <c r="J21" s="13" t="s">
        <v>33</v>
      </c>
      <c r="K21" s="13" t="s">
        <v>69</v>
      </c>
      <c r="L21" s="13">
        <v>0</v>
      </c>
      <c r="M21" s="13" t="s">
        <v>80</v>
      </c>
      <c r="N21" s="15">
        <v>9</v>
      </c>
      <c r="O21" s="16">
        <v>9</v>
      </c>
    </row>
    <row r="22" spans="1:16">
      <c r="A22" s="12" t="s">
        <v>78</v>
      </c>
      <c r="B22" s="13" t="s">
        <v>26</v>
      </c>
      <c r="C22" s="13" t="s">
        <v>69</v>
      </c>
      <c r="D22" s="13">
        <v>20</v>
      </c>
      <c r="E22" s="13" t="s">
        <v>80</v>
      </c>
      <c r="F22" s="15">
        <v>5</v>
      </c>
      <c r="G22" s="16">
        <v>15</v>
      </c>
      <c r="H22" s="13"/>
      <c r="I22" s="12" t="s">
        <v>78</v>
      </c>
      <c r="J22" s="13" t="s">
        <v>26</v>
      </c>
      <c r="K22" s="13" t="s">
        <v>69</v>
      </c>
      <c r="L22" s="13">
        <v>10</v>
      </c>
      <c r="M22" s="13" t="s">
        <v>80</v>
      </c>
      <c r="N22" s="15">
        <v>30</v>
      </c>
      <c r="O22" s="16">
        <v>29</v>
      </c>
    </row>
    <row r="23" spans="1:16">
      <c r="A23" s="12"/>
      <c r="B23" s="13" t="s">
        <v>27</v>
      </c>
      <c r="C23" s="13" t="s">
        <v>69</v>
      </c>
      <c r="D23" s="13">
        <v>30</v>
      </c>
      <c r="E23" s="13" t="s">
        <v>80</v>
      </c>
      <c r="F23" s="15">
        <v>5</v>
      </c>
      <c r="G23" s="16">
        <v>25</v>
      </c>
      <c r="H23" s="13"/>
      <c r="I23" s="12"/>
      <c r="J23" s="13" t="s">
        <v>27</v>
      </c>
      <c r="K23" s="13" t="s">
        <v>69</v>
      </c>
      <c r="L23" s="13">
        <v>20</v>
      </c>
      <c r="M23" s="13" t="s">
        <v>80</v>
      </c>
      <c r="N23" s="15">
        <v>9</v>
      </c>
      <c r="O23" s="16">
        <f>L23-N23</f>
        <v>11</v>
      </c>
    </row>
    <row r="24" spans="1:16">
      <c r="A24" s="12"/>
      <c r="B24" s="13" t="s">
        <v>28</v>
      </c>
      <c r="C24" s="13" t="s">
        <v>69</v>
      </c>
      <c r="D24" s="13">
        <v>40</v>
      </c>
      <c r="E24" s="13" t="s">
        <v>80</v>
      </c>
      <c r="F24" s="15">
        <v>10</v>
      </c>
      <c r="G24" s="16">
        <v>30</v>
      </c>
      <c r="H24" s="13"/>
      <c r="I24" s="12"/>
      <c r="J24" s="13" t="s">
        <v>28</v>
      </c>
      <c r="K24" s="13" t="s">
        <v>69</v>
      </c>
      <c r="L24" s="25">
        <v>2000000</v>
      </c>
      <c r="M24" s="13" t="s">
        <v>80</v>
      </c>
      <c r="N24" s="25">
        <v>1520000</v>
      </c>
      <c r="O24" s="16">
        <f>L24-N24</f>
        <v>480000</v>
      </c>
    </row>
    <row r="25" spans="1:16">
      <c r="A25" s="12"/>
      <c r="B25" s="13" t="s">
        <v>29</v>
      </c>
      <c r="C25" s="13" t="s">
        <v>69</v>
      </c>
      <c r="D25" s="13">
        <v>10</v>
      </c>
      <c r="E25" s="13" t="s">
        <v>80</v>
      </c>
      <c r="F25" s="15">
        <v>5</v>
      </c>
      <c r="G25" s="16">
        <v>5</v>
      </c>
      <c r="H25" s="13"/>
      <c r="I25" s="12"/>
      <c r="J25" s="13" t="s">
        <v>29</v>
      </c>
      <c r="K25" s="13" t="s">
        <v>69</v>
      </c>
      <c r="L25" s="25">
        <v>44500</v>
      </c>
      <c r="M25" s="13" t="s">
        <v>80</v>
      </c>
      <c r="N25" s="25">
        <v>19100</v>
      </c>
      <c r="O25" s="16">
        <f>L25-N25</f>
        <v>25400</v>
      </c>
    </row>
    <row r="26" spans="1:16">
      <c r="A26" s="12"/>
      <c r="B26" s="13"/>
      <c r="C26" s="13"/>
      <c r="D26" s="13"/>
      <c r="E26" s="13"/>
      <c r="F26" s="13"/>
      <c r="G26" s="16"/>
      <c r="H26" s="13"/>
      <c r="I26" s="12"/>
      <c r="J26" s="13"/>
      <c r="K26" s="13"/>
      <c r="L26" s="13"/>
      <c r="M26" s="13"/>
      <c r="N26" s="13"/>
      <c r="O26" s="16"/>
    </row>
    <row r="27" spans="1:16">
      <c r="A27" s="12" t="s">
        <v>25</v>
      </c>
      <c r="B27" s="13" t="s">
        <v>33</v>
      </c>
      <c r="C27" s="13" t="s">
        <v>69</v>
      </c>
      <c r="D27" s="13">
        <v>80</v>
      </c>
      <c r="E27" s="13" t="s">
        <v>80</v>
      </c>
      <c r="F27" s="15">
        <v>20</v>
      </c>
      <c r="G27" s="16">
        <v>60</v>
      </c>
      <c r="H27" s="13"/>
      <c r="I27" s="12" t="s">
        <v>25</v>
      </c>
      <c r="J27" s="13" t="s">
        <v>33</v>
      </c>
      <c r="K27" s="13" t="s">
        <v>69</v>
      </c>
      <c r="L27" s="13">
        <v>940</v>
      </c>
      <c r="M27" s="13" t="s">
        <v>80</v>
      </c>
      <c r="N27" s="15">
        <v>200</v>
      </c>
      <c r="O27" s="16">
        <f>L27-N27</f>
        <v>740</v>
      </c>
    </row>
    <row r="28" spans="1:16">
      <c r="A28" s="12" t="s">
        <v>78</v>
      </c>
      <c r="B28" s="13" t="s">
        <v>26</v>
      </c>
      <c r="C28" s="13" t="s">
        <v>69</v>
      </c>
      <c r="D28" s="25">
        <v>1780</v>
      </c>
      <c r="E28" s="13" t="s">
        <v>80</v>
      </c>
      <c r="F28" s="15">
        <v>1360</v>
      </c>
      <c r="G28" s="16">
        <v>420</v>
      </c>
      <c r="H28" s="13"/>
      <c r="I28" s="12" t="s">
        <v>78</v>
      </c>
      <c r="J28" s="13" t="s">
        <v>26</v>
      </c>
      <c r="K28" s="13" t="s">
        <v>69</v>
      </c>
      <c r="L28" s="13">
        <v>350</v>
      </c>
      <c r="M28" s="13" t="s">
        <v>80</v>
      </c>
      <c r="N28" s="15">
        <v>350</v>
      </c>
      <c r="O28" s="16">
        <v>5</v>
      </c>
    </row>
    <row r="29" spans="1:16">
      <c r="A29" s="12"/>
      <c r="B29" s="13" t="s">
        <v>27</v>
      </c>
      <c r="C29" s="13" t="s">
        <v>69</v>
      </c>
      <c r="D29" s="25">
        <v>26500</v>
      </c>
      <c r="E29" s="13" t="s">
        <v>80</v>
      </c>
      <c r="F29" s="15">
        <v>340</v>
      </c>
      <c r="G29" s="16">
        <v>26160</v>
      </c>
      <c r="H29" s="13"/>
      <c r="I29" s="12"/>
      <c r="J29" s="13" t="s">
        <v>27</v>
      </c>
      <c r="K29" s="13" t="s">
        <v>69</v>
      </c>
      <c r="L29" s="13">
        <v>160</v>
      </c>
      <c r="M29" s="13" t="s">
        <v>80</v>
      </c>
      <c r="N29" s="15">
        <v>70</v>
      </c>
      <c r="O29" s="16">
        <f>L29-N29</f>
        <v>90</v>
      </c>
    </row>
    <row r="30" spans="1:16">
      <c r="A30" s="12"/>
      <c r="B30" s="13" t="s">
        <v>28</v>
      </c>
      <c r="C30" s="13" t="s">
        <v>69</v>
      </c>
      <c r="D30" s="13">
        <v>200</v>
      </c>
      <c r="E30" s="13" t="s">
        <v>80</v>
      </c>
      <c r="F30" s="15">
        <v>5</v>
      </c>
      <c r="G30" s="16">
        <v>195</v>
      </c>
      <c r="H30" s="13"/>
      <c r="I30" s="12"/>
      <c r="J30" s="13" t="s">
        <v>28</v>
      </c>
      <c r="K30" s="13" t="s">
        <v>69</v>
      </c>
      <c r="L30" s="25">
        <v>97000000</v>
      </c>
      <c r="M30" s="13" t="s">
        <v>80</v>
      </c>
      <c r="N30" s="25">
        <v>36000000</v>
      </c>
      <c r="O30" s="16">
        <f>L30-N30</f>
        <v>61000000</v>
      </c>
    </row>
    <row r="31" spans="1:16">
      <c r="A31" s="12"/>
      <c r="B31" s="13" t="s">
        <v>29</v>
      </c>
      <c r="C31" s="13" t="s">
        <v>69</v>
      </c>
      <c r="D31" s="13">
        <v>10</v>
      </c>
      <c r="E31" s="13" t="s">
        <v>80</v>
      </c>
      <c r="F31" s="15">
        <v>5</v>
      </c>
      <c r="G31" s="16">
        <v>5</v>
      </c>
      <c r="H31" s="13"/>
      <c r="I31" s="12"/>
      <c r="J31" s="13" t="s">
        <v>29</v>
      </c>
      <c r="K31" s="13" t="s">
        <v>69</v>
      </c>
      <c r="L31" s="25">
        <v>1340000</v>
      </c>
      <c r="M31" s="13" t="s">
        <v>80</v>
      </c>
      <c r="N31" s="25">
        <v>660000</v>
      </c>
      <c r="O31" s="16">
        <f>L31-N31</f>
        <v>680000</v>
      </c>
    </row>
    <row r="32" spans="1:16">
      <c r="A32" s="12"/>
      <c r="B32" s="13"/>
      <c r="C32" s="13"/>
      <c r="D32" s="13"/>
      <c r="E32" s="13"/>
      <c r="F32" s="13"/>
      <c r="G32" s="16"/>
      <c r="H32" s="13"/>
      <c r="I32" s="12"/>
      <c r="J32" s="13"/>
      <c r="K32" s="13"/>
      <c r="L32" s="13"/>
      <c r="M32" s="13"/>
      <c r="N32" s="13"/>
      <c r="O32" s="16"/>
    </row>
    <row r="33" spans="1:15">
      <c r="A33" s="12" t="s">
        <v>79</v>
      </c>
      <c r="B33" s="13" t="s">
        <v>33</v>
      </c>
      <c r="C33" s="13" t="s">
        <v>69</v>
      </c>
      <c r="D33" s="13">
        <v>50</v>
      </c>
      <c r="E33" s="13" t="s">
        <v>80</v>
      </c>
      <c r="F33" s="15">
        <v>30</v>
      </c>
      <c r="G33" s="16">
        <v>20</v>
      </c>
      <c r="H33" s="13"/>
      <c r="I33" s="12" t="s">
        <v>79</v>
      </c>
      <c r="J33" s="13" t="s">
        <v>33</v>
      </c>
      <c r="K33" s="13" t="s">
        <v>69</v>
      </c>
      <c r="L33" s="25">
        <v>36300</v>
      </c>
      <c r="M33" s="13" t="s">
        <v>80</v>
      </c>
      <c r="N33" s="25">
        <v>15400</v>
      </c>
      <c r="O33" s="16">
        <f>L33-N33</f>
        <v>20900</v>
      </c>
    </row>
    <row r="34" spans="1:15">
      <c r="A34" s="12" t="s">
        <v>78</v>
      </c>
      <c r="B34" s="13" t="s">
        <v>26</v>
      </c>
      <c r="C34" s="13" t="s">
        <v>69</v>
      </c>
      <c r="D34" s="13">
        <v>590</v>
      </c>
      <c r="E34" s="13" t="s">
        <v>80</v>
      </c>
      <c r="F34" s="15">
        <v>330</v>
      </c>
      <c r="G34" s="16">
        <v>260</v>
      </c>
      <c r="H34" s="13"/>
      <c r="I34" s="12" t="s">
        <v>78</v>
      </c>
      <c r="J34" s="13" t="s">
        <v>26</v>
      </c>
      <c r="K34" s="13" t="s">
        <v>69</v>
      </c>
      <c r="L34" s="25">
        <v>5900</v>
      </c>
      <c r="M34" s="13" t="s">
        <v>80</v>
      </c>
      <c r="N34" s="25">
        <v>3400</v>
      </c>
      <c r="O34" s="16">
        <f>L34-N34</f>
        <v>2500</v>
      </c>
    </row>
    <row r="35" spans="1:15">
      <c r="A35" s="12"/>
      <c r="B35" s="13" t="s">
        <v>27</v>
      </c>
      <c r="C35" s="13" t="s">
        <v>69</v>
      </c>
      <c r="D35" s="13">
        <v>670</v>
      </c>
      <c r="E35" s="13" t="s">
        <v>80</v>
      </c>
      <c r="F35" s="15">
        <v>160</v>
      </c>
      <c r="G35" s="16">
        <v>510</v>
      </c>
      <c r="H35" s="13"/>
      <c r="I35" s="12"/>
      <c r="J35" s="13" t="s">
        <v>27</v>
      </c>
      <c r="K35" s="13" t="s">
        <v>69</v>
      </c>
      <c r="L35" s="13">
        <v>90</v>
      </c>
      <c r="M35" s="13" t="s">
        <v>80</v>
      </c>
      <c r="N35" s="15">
        <v>20</v>
      </c>
      <c r="O35" s="16">
        <f>L35-N35</f>
        <v>70</v>
      </c>
    </row>
    <row r="36" spans="1:15">
      <c r="A36" s="12"/>
      <c r="B36" s="13" t="s">
        <v>28</v>
      </c>
      <c r="C36" s="13" t="s">
        <v>69</v>
      </c>
      <c r="D36" s="13">
        <v>20</v>
      </c>
      <c r="E36" s="13" t="s">
        <v>80</v>
      </c>
      <c r="F36" s="15">
        <v>5</v>
      </c>
      <c r="G36" s="16">
        <v>15</v>
      </c>
      <c r="H36" s="13"/>
      <c r="I36" s="12"/>
      <c r="J36" s="13" t="s">
        <v>28</v>
      </c>
      <c r="K36" s="13" t="s">
        <v>69</v>
      </c>
      <c r="L36" s="25">
        <v>22500000</v>
      </c>
      <c r="M36" s="13" t="s">
        <v>80</v>
      </c>
      <c r="N36" s="25">
        <v>11500000</v>
      </c>
      <c r="O36" s="16">
        <f>L36-N36</f>
        <v>11000000</v>
      </c>
    </row>
    <row r="37" spans="1:15">
      <c r="A37" s="27"/>
      <c r="B37" s="28" t="s">
        <v>29</v>
      </c>
      <c r="C37" s="28" t="s">
        <v>69</v>
      </c>
      <c r="D37" s="28">
        <v>10</v>
      </c>
      <c r="E37" s="28" t="s">
        <v>80</v>
      </c>
      <c r="F37" s="29">
        <v>5</v>
      </c>
      <c r="G37" s="32">
        <v>5</v>
      </c>
      <c r="H37" s="13"/>
      <c r="I37" s="27"/>
      <c r="J37" s="28" t="s">
        <v>29</v>
      </c>
      <c r="K37" s="28" t="s">
        <v>69</v>
      </c>
      <c r="L37" s="31">
        <v>350000</v>
      </c>
      <c r="M37" s="28" t="s">
        <v>80</v>
      </c>
      <c r="N37" s="31">
        <v>349000</v>
      </c>
      <c r="O37" s="32">
        <f>L37-N37</f>
        <v>1000</v>
      </c>
    </row>
    <row r="39" spans="1:15">
      <c r="A39" t="s">
        <v>83</v>
      </c>
    </row>
    <row r="41" spans="1:15">
      <c r="A41" t="s">
        <v>42</v>
      </c>
      <c r="D41" t="s">
        <v>15</v>
      </c>
      <c r="E41" t="s">
        <v>84</v>
      </c>
    </row>
    <row r="42" spans="1:15">
      <c r="A42" t="s">
        <v>75</v>
      </c>
      <c r="B42" t="s">
        <v>13</v>
      </c>
      <c r="C42" t="s">
        <v>69</v>
      </c>
      <c r="D42" s="33">
        <f>30000000*20</f>
        <v>600000000</v>
      </c>
    </row>
    <row r="43" spans="1:15">
      <c r="B43" t="s">
        <v>70</v>
      </c>
      <c r="C43" t="s">
        <v>80</v>
      </c>
      <c r="D43" s="33">
        <f>12000000*20</f>
        <v>240000000</v>
      </c>
    </row>
    <row r="44" spans="1:15">
      <c r="B44" t="s">
        <v>7</v>
      </c>
      <c r="D44" s="33">
        <f>D42-D43</f>
        <v>360000000</v>
      </c>
      <c r="E44">
        <f>D44/D43</f>
        <v>1.5</v>
      </c>
    </row>
    <row r="46" spans="1:15">
      <c r="A46" s="10" t="s">
        <v>76</v>
      </c>
      <c r="B46" s="10" t="s">
        <v>13</v>
      </c>
      <c r="C46" s="10" t="s">
        <v>69</v>
      </c>
      <c r="D46" s="11">
        <v>600000000</v>
      </c>
      <c r="E46" s="10"/>
    </row>
    <row r="47" spans="1:15">
      <c r="A47" s="10"/>
      <c r="B47" s="10" t="s">
        <v>71</v>
      </c>
      <c r="C47" s="10" t="s">
        <v>80</v>
      </c>
      <c r="D47" s="11">
        <v>300000000</v>
      </c>
      <c r="E47" s="10"/>
    </row>
    <row r="48" spans="1:15">
      <c r="A48" s="10"/>
      <c r="B48" s="10" t="s">
        <v>7</v>
      </c>
      <c r="C48" s="10"/>
      <c r="D48" s="11">
        <f>D46-D47</f>
        <v>300000000</v>
      </c>
      <c r="E48" s="34">
        <f>D48/D47</f>
        <v>1</v>
      </c>
    </row>
    <row r="50" spans="1:15">
      <c r="A50" s="35" t="s">
        <v>75</v>
      </c>
      <c r="B50" s="36"/>
      <c r="C50" s="18"/>
      <c r="D50" s="18"/>
      <c r="E50" s="26"/>
      <c r="F50" s="26" t="s">
        <v>12</v>
      </c>
      <c r="G50" s="21"/>
      <c r="I50" s="35" t="s">
        <v>76</v>
      </c>
      <c r="J50" s="36"/>
      <c r="K50" s="18"/>
      <c r="L50" s="18"/>
      <c r="M50" s="26"/>
      <c r="N50" s="26" t="s">
        <v>12</v>
      </c>
      <c r="O50" s="21"/>
    </row>
    <row r="51" spans="1:15">
      <c r="A51" s="37"/>
      <c r="B51" s="25"/>
      <c r="C51" s="19" t="s">
        <v>13</v>
      </c>
      <c r="D51" s="19" t="s">
        <v>15</v>
      </c>
      <c r="E51" s="19" t="s">
        <v>12</v>
      </c>
      <c r="F51" s="19" t="s">
        <v>15</v>
      </c>
      <c r="G51" s="20" t="s">
        <v>81</v>
      </c>
      <c r="I51" s="37"/>
      <c r="J51" s="25"/>
      <c r="K51" s="19" t="s">
        <v>13</v>
      </c>
      <c r="L51" s="19" t="s">
        <v>15</v>
      </c>
      <c r="M51" s="19" t="s">
        <v>12</v>
      </c>
      <c r="N51" s="19" t="s">
        <v>15</v>
      </c>
      <c r="O51" s="20" t="s">
        <v>81</v>
      </c>
    </row>
    <row r="52" spans="1:15">
      <c r="A52" s="37" t="s">
        <v>85</v>
      </c>
      <c r="B52" s="25" t="s">
        <v>33</v>
      </c>
      <c r="C52" s="25" t="s">
        <v>69</v>
      </c>
      <c r="D52" s="25">
        <f>5*20</f>
        <v>100</v>
      </c>
      <c r="E52" s="25" t="s">
        <v>80</v>
      </c>
      <c r="F52" s="25">
        <f>1*20</f>
        <v>20</v>
      </c>
      <c r="G52" s="16">
        <f>(D52-F52)</f>
        <v>80</v>
      </c>
      <c r="I52" s="37" t="s">
        <v>85</v>
      </c>
      <c r="J52" s="13" t="s">
        <v>33</v>
      </c>
      <c r="K52" s="13" t="s">
        <v>69</v>
      </c>
      <c r="L52" s="13">
        <f>73*20</f>
        <v>1460</v>
      </c>
      <c r="M52" s="13" t="s">
        <v>80</v>
      </c>
      <c r="N52" s="13">
        <f>1*20</f>
        <v>20</v>
      </c>
      <c r="O52" s="14">
        <f>(L52-N52)</f>
        <v>1440</v>
      </c>
    </row>
    <row r="53" spans="1:15">
      <c r="A53" s="37" t="s">
        <v>78</v>
      </c>
      <c r="B53" s="25" t="s">
        <v>26</v>
      </c>
      <c r="C53" s="25" t="s">
        <v>69</v>
      </c>
      <c r="D53" s="25">
        <f>2*5</f>
        <v>10</v>
      </c>
      <c r="E53" s="25" t="s">
        <v>80</v>
      </c>
      <c r="F53" s="25">
        <f>1*5</f>
        <v>5</v>
      </c>
      <c r="G53" s="16">
        <f>(D53-F53)</f>
        <v>5</v>
      </c>
      <c r="I53" s="37" t="s">
        <v>78</v>
      </c>
      <c r="J53" s="13" t="s">
        <v>27</v>
      </c>
      <c r="K53" s="13" t="s">
        <v>69</v>
      </c>
      <c r="L53" s="13">
        <f>2*5</f>
        <v>10</v>
      </c>
      <c r="M53" s="13" t="s">
        <v>80</v>
      </c>
      <c r="N53" s="13">
        <f>1*5</f>
        <v>5</v>
      </c>
      <c r="O53" s="14">
        <f>(L53-N53)</f>
        <v>5</v>
      </c>
    </row>
    <row r="54" spans="1:15">
      <c r="A54" s="37"/>
      <c r="B54" s="25" t="s">
        <v>27</v>
      </c>
      <c r="C54" s="25" t="s">
        <v>69</v>
      </c>
      <c r="D54" s="25">
        <f>1*20</f>
        <v>20</v>
      </c>
      <c r="E54" s="25" t="s">
        <v>80</v>
      </c>
      <c r="F54" s="25">
        <f>1*5</f>
        <v>5</v>
      </c>
      <c r="G54" s="16">
        <f>(D54-F54)</f>
        <v>15</v>
      </c>
      <c r="I54" s="12"/>
      <c r="J54" s="13" t="s">
        <v>28</v>
      </c>
      <c r="K54" s="13" t="s">
        <v>69</v>
      </c>
      <c r="L54" s="13">
        <f>7*20</f>
        <v>140</v>
      </c>
      <c r="M54" s="13" t="s">
        <v>80</v>
      </c>
      <c r="N54" s="13">
        <f>6*20</f>
        <v>120</v>
      </c>
      <c r="O54" s="14">
        <f>(L54-N54)</f>
        <v>20</v>
      </c>
    </row>
    <row r="55" spans="1:15">
      <c r="A55" s="37"/>
      <c r="B55" s="25" t="s">
        <v>28</v>
      </c>
      <c r="C55" s="25" t="s">
        <v>69</v>
      </c>
      <c r="D55" s="25">
        <f>2*5</f>
        <v>10</v>
      </c>
      <c r="E55" s="25" t="s">
        <v>80</v>
      </c>
      <c r="F55" s="25">
        <f>1*5</f>
        <v>5</v>
      </c>
      <c r="G55" s="16">
        <f>(D55-F55)</f>
        <v>5</v>
      </c>
      <c r="I55" s="12"/>
      <c r="J55" s="13" t="s">
        <v>29</v>
      </c>
      <c r="K55" s="13" t="s">
        <v>69</v>
      </c>
      <c r="L55" s="13">
        <f>2*5</f>
        <v>10</v>
      </c>
      <c r="M55" s="13" t="s">
        <v>80</v>
      </c>
      <c r="N55" s="13">
        <f>1*5</f>
        <v>5</v>
      </c>
      <c r="O55" s="14">
        <f>(L55-N55)</f>
        <v>5</v>
      </c>
    </row>
    <row r="56" spans="1:15">
      <c r="A56" s="37"/>
      <c r="B56" s="25" t="s">
        <v>29</v>
      </c>
      <c r="C56" s="25" t="s">
        <v>69</v>
      </c>
      <c r="D56" s="25">
        <f>33*20</f>
        <v>660</v>
      </c>
      <c r="E56" s="25" t="s">
        <v>80</v>
      </c>
      <c r="F56" s="25">
        <f>14*20</f>
        <v>280</v>
      </c>
      <c r="G56" s="16">
        <f>(D56-F56)</f>
        <v>380</v>
      </c>
      <c r="I56" s="12"/>
      <c r="J56" s="13"/>
      <c r="K56" s="13"/>
      <c r="L56" s="13"/>
      <c r="M56" s="13"/>
      <c r="N56" s="13"/>
      <c r="O56" s="14"/>
    </row>
    <row r="57" spans="1:15">
      <c r="A57" s="37"/>
      <c r="B57" s="25"/>
      <c r="C57" s="25"/>
      <c r="D57" s="25"/>
      <c r="E57" s="25"/>
      <c r="F57" s="25"/>
      <c r="G57" s="16"/>
      <c r="I57" s="12"/>
      <c r="J57" s="13"/>
      <c r="K57" s="13"/>
      <c r="L57" s="13"/>
      <c r="M57" s="13"/>
      <c r="N57" s="13"/>
      <c r="O57" s="14"/>
    </row>
    <row r="58" spans="1:15">
      <c r="A58" s="37" t="s">
        <v>25</v>
      </c>
      <c r="B58" s="25" t="s">
        <v>33</v>
      </c>
      <c r="C58" s="25" t="s">
        <v>69</v>
      </c>
      <c r="D58" s="25">
        <f>3*20</f>
        <v>60</v>
      </c>
      <c r="E58" s="25" t="s">
        <v>80</v>
      </c>
      <c r="F58" s="25">
        <f>1*20</f>
        <v>20</v>
      </c>
      <c r="G58" s="16">
        <f>(D58-F58)</f>
        <v>40</v>
      </c>
      <c r="I58" s="37" t="s">
        <v>25</v>
      </c>
      <c r="J58" s="13" t="s">
        <v>33</v>
      </c>
      <c r="K58" s="13" t="s">
        <v>69</v>
      </c>
      <c r="L58" s="13">
        <f>23*20</f>
        <v>460</v>
      </c>
      <c r="M58" s="13" t="s">
        <v>80</v>
      </c>
      <c r="N58" s="13">
        <f>4*20</f>
        <v>80</v>
      </c>
      <c r="O58" s="14">
        <f>(L58-N58)</f>
        <v>380</v>
      </c>
    </row>
    <row r="59" spans="1:15">
      <c r="A59" s="37" t="s">
        <v>78</v>
      </c>
      <c r="B59" s="25" t="s">
        <v>26</v>
      </c>
      <c r="C59" s="25" t="s">
        <v>69</v>
      </c>
      <c r="D59" s="25">
        <f>39*5</f>
        <v>195</v>
      </c>
      <c r="E59" s="25" t="s">
        <v>80</v>
      </c>
      <c r="F59" s="25">
        <f>33*5</f>
        <v>165</v>
      </c>
      <c r="G59" s="16">
        <f>(D59-F59)</f>
        <v>30</v>
      </c>
      <c r="I59" s="37" t="s">
        <v>78</v>
      </c>
      <c r="J59" s="13" t="s">
        <v>27</v>
      </c>
      <c r="K59" s="13" t="s">
        <v>69</v>
      </c>
      <c r="L59" s="13">
        <f>71*5</f>
        <v>355</v>
      </c>
      <c r="M59" s="13" t="s">
        <v>80</v>
      </c>
      <c r="N59" s="13">
        <f>70*5</f>
        <v>350</v>
      </c>
      <c r="O59" s="14">
        <f>(L59-N59)</f>
        <v>5</v>
      </c>
    </row>
    <row r="60" spans="1:15">
      <c r="A60" s="37"/>
      <c r="B60" s="25" t="s">
        <v>27</v>
      </c>
      <c r="C60" s="25" t="s">
        <v>69</v>
      </c>
      <c r="D60" s="25">
        <f>9*20</f>
        <v>180</v>
      </c>
      <c r="E60" s="25" t="s">
        <v>80</v>
      </c>
      <c r="F60" s="25">
        <f>1*5</f>
        <v>5</v>
      </c>
      <c r="G60" s="16">
        <f>(D60-F60)</f>
        <v>175</v>
      </c>
      <c r="I60" s="12"/>
      <c r="J60" s="13" t="s">
        <v>28</v>
      </c>
      <c r="K60" s="13" t="s">
        <v>69</v>
      </c>
      <c r="L60" s="13">
        <f>8*20</f>
        <v>160</v>
      </c>
      <c r="M60" s="13" t="s">
        <v>80</v>
      </c>
      <c r="N60" s="13">
        <f>5*20</f>
        <v>100</v>
      </c>
      <c r="O60" s="14">
        <f>(L60-N60)</f>
        <v>60</v>
      </c>
    </row>
    <row r="61" spans="1:15">
      <c r="A61" s="37"/>
      <c r="B61" s="25" t="s">
        <v>28</v>
      </c>
      <c r="C61" s="25" t="s">
        <v>69</v>
      </c>
      <c r="D61" s="25">
        <f>58*5</f>
        <v>290</v>
      </c>
      <c r="E61" s="25" t="s">
        <v>80</v>
      </c>
      <c r="F61" s="25">
        <f>26*5</f>
        <v>130</v>
      </c>
      <c r="G61" s="16">
        <f>(D61-F61)</f>
        <v>160</v>
      </c>
      <c r="I61" s="12"/>
      <c r="J61" s="13" t="s">
        <v>29</v>
      </c>
      <c r="K61" s="13" t="s">
        <v>69</v>
      </c>
      <c r="L61" s="13">
        <f>107*5</f>
        <v>535</v>
      </c>
      <c r="M61" s="13" t="s">
        <v>80</v>
      </c>
      <c r="N61" s="13">
        <f>106*5</f>
        <v>530</v>
      </c>
      <c r="O61" s="14">
        <f>(L61-N61)</f>
        <v>5</v>
      </c>
    </row>
    <row r="62" spans="1:15">
      <c r="A62" s="37"/>
      <c r="B62" s="25" t="s">
        <v>29</v>
      </c>
      <c r="C62" s="25" t="s">
        <v>69</v>
      </c>
      <c r="D62" s="25">
        <f>180*20</f>
        <v>3600</v>
      </c>
      <c r="E62" s="25" t="s">
        <v>80</v>
      </c>
      <c r="F62" s="25">
        <f>12*20</f>
        <v>240</v>
      </c>
      <c r="G62" s="16">
        <f>(D62-F62)</f>
        <v>3360</v>
      </c>
      <c r="I62" s="12"/>
      <c r="J62" s="13"/>
      <c r="K62" s="13"/>
      <c r="L62" s="13"/>
      <c r="M62" s="13"/>
      <c r="N62" s="13"/>
      <c r="O62" s="14"/>
    </row>
    <row r="63" spans="1:15">
      <c r="A63" s="37"/>
      <c r="B63" s="25"/>
      <c r="C63" s="25"/>
      <c r="D63" s="25"/>
      <c r="E63" s="25"/>
      <c r="F63" s="25"/>
      <c r="G63" s="16"/>
      <c r="I63" s="12"/>
      <c r="J63" s="13"/>
      <c r="K63" s="13"/>
      <c r="L63" s="13"/>
      <c r="M63" s="13"/>
      <c r="N63" s="13"/>
      <c r="O63" s="14"/>
    </row>
    <row r="64" spans="1:15">
      <c r="A64" s="37" t="s">
        <v>86</v>
      </c>
      <c r="B64" s="25" t="s">
        <v>33</v>
      </c>
      <c r="C64" s="25" t="s">
        <v>69</v>
      </c>
      <c r="D64" s="25">
        <f>6*20</f>
        <v>120</v>
      </c>
      <c r="E64" s="25" t="s">
        <v>80</v>
      </c>
      <c r="F64" s="25">
        <f>1*20</f>
        <v>20</v>
      </c>
      <c r="G64" s="16">
        <f>(D64-F64)</f>
        <v>100</v>
      </c>
      <c r="I64" s="37" t="s">
        <v>86</v>
      </c>
      <c r="J64" s="13" t="s">
        <v>33</v>
      </c>
      <c r="K64" s="13" t="s">
        <v>69</v>
      </c>
      <c r="L64" s="13">
        <f>9*20</f>
        <v>180</v>
      </c>
      <c r="M64" s="13" t="s">
        <v>80</v>
      </c>
      <c r="N64" s="13">
        <f>4*20</f>
        <v>80</v>
      </c>
      <c r="O64" s="14">
        <f>(L64-N64)</f>
        <v>100</v>
      </c>
    </row>
    <row r="65" spans="1:15">
      <c r="A65" s="37" t="s">
        <v>78</v>
      </c>
      <c r="B65" s="25" t="s">
        <v>26</v>
      </c>
      <c r="C65" s="25" t="s">
        <v>69</v>
      </c>
      <c r="D65" s="25">
        <f>39*5</f>
        <v>195</v>
      </c>
      <c r="E65" s="25" t="s">
        <v>80</v>
      </c>
      <c r="F65" s="25">
        <f>15*5</f>
        <v>75</v>
      </c>
      <c r="G65" s="16">
        <f>(D65-F65)</f>
        <v>120</v>
      </c>
      <c r="I65" s="37" t="s">
        <v>78</v>
      </c>
      <c r="J65" s="13" t="s">
        <v>27</v>
      </c>
      <c r="K65" s="13" t="s">
        <v>69</v>
      </c>
      <c r="L65" s="13">
        <f>83*5</f>
        <v>415</v>
      </c>
      <c r="M65" s="13" t="s">
        <v>80</v>
      </c>
      <c r="N65" s="13">
        <f>82*5</f>
        <v>410</v>
      </c>
      <c r="O65" s="14">
        <f>(L65-N65)</f>
        <v>5</v>
      </c>
    </row>
    <row r="66" spans="1:15">
      <c r="A66" s="37"/>
      <c r="B66" s="25" t="s">
        <v>27</v>
      </c>
      <c r="C66" s="25" t="s">
        <v>69</v>
      </c>
      <c r="D66" s="25">
        <f>2*20</f>
        <v>40</v>
      </c>
      <c r="E66" s="25" t="s">
        <v>80</v>
      </c>
      <c r="F66" s="25">
        <f>1*5</f>
        <v>5</v>
      </c>
      <c r="G66" s="16">
        <f>(D66-F66)</f>
        <v>35</v>
      </c>
      <c r="I66" s="12"/>
      <c r="J66" s="13" t="s">
        <v>28</v>
      </c>
      <c r="K66" s="13" t="s">
        <v>69</v>
      </c>
      <c r="L66" s="13">
        <f>11*20</f>
        <v>220</v>
      </c>
      <c r="M66" s="13" t="s">
        <v>80</v>
      </c>
      <c r="N66" s="13">
        <f>4*20</f>
        <v>80</v>
      </c>
      <c r="O66" s="14">
        <f>(L66-N66)</f>
        <v>140</v>
      </c>
    </row>
    <row r="67" spans="1:15">
      <c r="A67" s="37"/>
      <c r="B67" s="25" t="s">
        <v>28</v>
      </c>
      <c r="C67" s="25" t="s">
        <v>69</v>
      </c>
      <c r="D67" s="25">
        <f>40*5</f>
        <v>200</v>
      </c>
      <c r="E67" s="25" t="s">
        <v>80</v>
      </c>
      <c r="F67" s="25">
        <f>16*5</f>
        <v>80</v>
      </c>
      <c r="G67" s="16">
        <f>(D67-F67)</f>
        <v>120</v>
      </c>
      <c r="I67" s="12"/>
      <c r="J67" s="13" t="s">
        <v>29</v>
      </c>
      <c r="K67" s="13" t="s">
        <v>69</v>
      </c>
      <c r="L67" s="13">
        <f>28*5</f>
        <v>140</v>
      </c>
      <c r="M67" s="13" t="s">
        <v>80</v>
      </c>
      <c r="N67" s="13">
        <f>25*5</f>
        <v>125</v>
      </c>
      <c r="O67" s="14">
        <f>(L67-N67)</f>
        <v>15</v>
      </c>
    </row>
    <row r="68" spans="1:15">
      <c r="A68" s="38"/>
      <c r="B68" s="31" t="s">
        <v>29</v>
      </c>
      <c r="C68" s="31" t="s">
        <v>69</v>
      </c>
      <c r="D68" s="31">
        <f>200*20</f>
        <v>4000</v>
      </c>
      <c r="E68" s="31" t="s">
        <v>80</v>
      </c>
      <c r="F68" s="31">
        <f>24*20</f>
        <v>480</v>
      </c>
      <c r="G68" s="32">
        <f>(D68-F68)</f>
        <v>3520</v>
      </c>
      <c r="I68" s="27"/>
      <c r="J68" s="28"/>
      <c r="K68" s="28"/>
      <c r="L68" s="28"/>
      <c r="M68" s="28"/>
      <c r="N68" s="28"/>
      <c r="O68" s="30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1C</vt:lpstr>
      <vt:lpstr>Fig 1D</vt:lpstr>
      <vt:lpstr>Fig 7A</vt:lpstr>
      <vt:lpstr>Fig S4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jrelfenb</dc:creator>
  <cp:lastModifiedBy>TAMHSC</cp:lastModifiedBy>
  <dcterms:created xsi:type="dcterms:W3CDTF">2015-08-10T01:38:56Z</dcterms:created>
  <dcterms:modified xsi:type="dcterms:W3CDTF">2015-08-11T15:58:41Z</dcterms:modified>
</cp:coreProperties>
</file>