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wner\Documents\University\PhD\Data Analysis\Databases\"/>
    </mc:Choice>
  </mc:AlternateContent>
  <xr:revisionPtr revIDLastSave="0" documentId="13_ncr:1_{DC68315F-E5A1-49E2-8DEB-1821C76EBA49}" xr6:coauthVersionLast="45" xr6:coauthVersionMax="45" xr10:uidLastSave="{00000000-0000-0000-0000-000000000000}"/>
  <bookViews>
    <workbookView xWindow="-120" yWindow="-120" windowWidth="20730" windowHeight="11160" activeTab="3" xr2:uid="{79B964D9-9DAE-4849-A0B9-4F9C8948EE50}"/>
  </bookViews>
  <sheets>
    <sheet name="Newquay TADA" sheetId="1" r:id="rId1"/>
    <sheet name="Tamar TADA" sheetId="2" r:id="rId2"/>
    <sheet name="New Forest TADA" sheetId="3" r:id="rId3"/>
    <sheet name="Memory GLMM Data" sheetId="4" r:id="rId4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" i="3" l="1"/>
  <c r="D6" i="3"/>
  <c r="C6" i="3"/>
  <c r="B6" i="3"/>
  <c r="D12" i="3"/>
  <c r="C12" i="3"/>
  <c r="B12" i="3"/>
  <c r="F5" i="3"/>
  <c r="D5" i="3"/>
  <c r="C5" i="3"/>
  <c r="B5" i="3"/>
  <c r="E11" i="3"/>
  <c r="C11" i="3"/>
  <c r="B11" i="3"/>
  <c r="F4" i="3"/>
  <c r="E4" i="3"/>
  <c r="C4" i="3"/>
  <c r="B4" i="3"/>
  <c r="E10" i="3"/>
  <c r="D10" i="3"/>
  <c r="B10" i="3"/>
  <c r="F3" i="3"/>
  <c r="E3" i="3"/>
  <c r="D3" i="3"/>
  <c r="B3" i="3"/>
  <c r="E9" i="3"/>
  <c r="D9" i="3"/>
  <c r="C9" i="3"/>
  <c r="F2" i="3"/>
  <c r="E2" i="3"/>
  <c r="D2" i="3"/>
  <c r="C2" i="3"/>
  <c r="L13" i="2"/>
  <c r="K13" i="2"/>
  <c r="J13" i="2"/>
  <c r="I13" i="2"/>
  <c r="H13" i="2"/>
  <c r="G13" i="2"/>
  <c r="F13" i="2"/>
  <c r="E13" i="2"/>
  <c r="D13" i="2"/>
  <c r="C13" i="2"/>
  <c r="B13" i="2"/>
  <c r="M12" i="2"/>
  <c r="K12" i="2"/>
  <c r="J12" i="2"/>
  <c r="I12" i="2"/>
  <c r="H12" i="2"/>
  <c r="G12" i="2"/>
  <c r="F12" i="2"/>
  <c r="E12" i="2"/>
  <c r="D12" i="2"/>
  <c r="C12" i="2"/>
  <c r="B12" i="2"/>
  <c r="M11" i="2"/>
  <c r="L11" i="2"/>
  <c r="J11" i="2"/>
  <c r="I11" i="2"/>
  <c r="H11" i="2"/>
  <c r="G11" i="2"/>
  <c r="F11" i="2"/>
  <c r="E11" i="2"/>
  <c r="D11" i="2"/>
  <c r="C11" i="2"/>
  <c r="B11" i="2"/>
  <c r="M10" i="2"/>
  <c r="L10" i="2"/>
  <c r="K10" i="2"/>
  <c r="I10" i="2"/>
  <c r="H10" i="2"/>
  <c r="G10" i="2"/>
  <c r="F10" i="2"/>
  <c r="E10" i="2"/>
  <c r="D10" i="2"/>
  <c r="C10" i="2"/>
  <c r="B10" i="2"/>
  <c r="M9" i="2"/>
  <c r="L9" i="2"/>
  <c r="K9" i="2"/>
  <c r="J9" i="2"/>
  <c r="H9" i="2"/>
  <c r="G9" i="2"/>
  <c r="F9" i="2"/>
  <c r="E9" i="2"/>
  <c r="D9" i="2"/>
  <c r="C9" i="2"/>
  <c r="B9" i="2"/>
  <c r="M8" i="2"/>
  <c r="L8" i="2"/>
  <c r="K8" i="2"/>
  <c r="J8" i="2"/>
  <c r="I8" i="2"/>
  <c r="G8" i="2"/>
  <c r="F8" i="2"/>
  <c r="E8" i="2"/>
  <c r="D8" i="2"/>
  <c r="C8" i="2"/>
  <c r="B8" i="2"/>
  <c r="M7" i="2"/>
  <c r="L7" i="2"/>
  <c r="K7" i="2"/>
  <c r="J7" i="2"/>
  <c r="I7" i="2"/>
  <c r="H7" i="2"/>
  <c r="F7" i="2"/>
  <c r="E7" i="2"/>
  <c r="D7" i="2"/>
  <c r="C7" i="2"/>
  <c r="B7" i="2"/>
  <c r="M6" i="2"/>
  <c r="L6" i="2"/>
  <c r="K6" i="2"/>
  <c r="J6" i="2"/>
  <c r="I6" i="2"/>
  <c r="H6" i="2"/>
  <c r="G6" i="2"/>
  <c r="E6" i="2"/>
  <c r="D6" i="2"/>
  <c r="C6" i="2"/>
  <c r="B6" i="2"/>
  <c r="M5" i="2"/>
  <c r="L5" i="2"/>
  <c r="K5" i="2"/>
  <c r="J5" i="2"/>
  <c r="I5" i="2"/>
  <c r="H5" i="2"/>
  <c r="G5" i="2"/>
  <c r="F5" i="2"/>
  <c r="D5" i="2"/>
  <c r="C5" i="2"/>
  <c r="B5" i="2"/>
  <c r="M4" i="2"/>
  <c r="L4" i="2"/>
  <c r="K4" i="2"/>
  <c r="J4" i="2"/>
  <c r="I4" i="2"/>
  <c r="H4" i="2"/>
  <c r="G4" i="2"/>
  <c r="F4" i="2"/>
  <c r="E4" i="2"/>
  <c r="C4" i="2"/>
  <c r="B4" i="2"/>
  <c r="M3" i="2"/>
  <c r="L3" i="2"/>
  <c r="K3" i="2"/>
  <c r="J3" i="2"/>
  <c r="I3" i="2"/>
  <c r="H3" i="2"/>
  <c r="G3" i="2"/>
  <c r="F3" i="2"/>
  <c r="E3" i="2"/>
  <c r="D3" i="2"/>
  <c r="B3" i="2"/>
  <c r="M2" i="2"/>
  <c r="L2" i="2"/>
  <c r="K2" i="2"/>
  <c r="J2" i="2"/>
  <c r="I2" i="2"/>
  <c r="H2" i="2"/>
  <c r="G2" i="2"/>
  <c r="F2" i="2"/>
  <c r="E2" i="2"/>
  <c r="D2" i="2"/>
  <c r="C2" i="2"/>
  <c r="L13" i="1"/>
  <c r="K13" i="1"/>
  <c r="J13" i="1"/>
  <c r="I13" i="1"/>
  <c r="H13" i="1"/>
  <c r="G13" i="1"/>
  <c r="F13" i="1"/>
  <c r="E13" i="1"/>
  <c r="D13" i="1"/>
  <c r="C13" i="1"/>
  <c r="B13" i="1"/>
  <c r="M12" i="1"/>
  <c r="K12" i="1"/>
  <c r="J12" i="1"/>
  <c r="I12" i="1"/>
  <c r="H12" i="1"/>
  <c r="G12" i="1"/>
  <c r="F12" i="1"/>
  <c r="E12" i="1"/>
  <c r="D12" i="1"/>
  <c r="C12" i="1"/>
  <c r="B12" i="1"/>
  <c r="M11" i="1"/>
  <c r="L11" i="1"/>
  <c r="J11" i="1"/>
  <c r="I11" i="1"/>
  <c r="H11" i="1"/>
  <c r="G11" i="1"/>
  <c r="F11" i="1"/>
  <c r="E11" i="1"/>
  <c r="D11" i="1"/>
  <c r="C11" i="1"/>
  <c r="B11" i="1"/>
  <c r="M10" i="1"/>
  <c r="L10" i="1"/>
  <c r="K10" i="1"/>
  <c r="I10" i="1"/>
  <c r="H10" i="1"/>
  <c r="G10" i="1"/>
  <c r="F10" i="1"/>
  <c r="E10" i="1"/>
  <c r="D10" i="1"/>
  <c r="C10" i="1"/>
  <c r="B10" i="1"/>
  <c r="M9" i="1"/>
  <c r="L9" i="1"/>
  <c r="K9" i="1"/>
  <c r="J9" i="1"/>
  <c r="H9" i="1"/>
  <c r="G9" i="1"/>
  <c r="F9" i="1"/>
  <c r="E9" i="1"/>
  <c r="D9" i="1"/>
  <c r="C9" i="1"/>
  <c r="B9" i="1"/>
  <c r="M8" i="1"/>
  <c r="L8" i="1"/>
  <c r="K8" i="1"/>
  <c r="J8" i="1"/>
  <c r="I8" i="1"/>
  <c r="G8" i="1"/>
  <c r="F8" i="1"/>
  <c r="E8" i="1"/>
  <c r="D8" i="1"/>
  <c r="C8" i="1"/>
  <c r="B8" i="1"/>
  <c r="M7" i="1"/>
  <c r="L7" i="1"/>
  <c r="K7" i="1"/>
  <c r="J7" i="1"/>
  <c r="I7" i="1"/>
  <c r="H7" i="1"/>
  <c r="F7" i="1"/>
  <c r="E7" i="1"/>
  <c r="D7" i="1"/>
  <c r="C7" i="1"/>
  <c r="B7" i="1"/>
  <c r="M6" i="1"/>
  <c r="L6" i="1"/>
  <c r="K6" i="1"/>
  <c r="J6" i="1"/>
  <c r="I6" i="1"/>
  <c r="H6" i="1"/>
  <c r="G6" i="1"/>
  <c r="E6" i="1"/>
  <c r="D6" i="1"/>
  <c r="C6" i="1"/>
  <c r="B6" i="1"/>
  <c r="M5" i="1"/>
  <c r="L5" i="1"/>
  <c r="K5" i="1"/>
  <c r="J5" i="1"/>
  <c r="I5" i="1"/>
  <c r="H5" i="1"/>
  <c r="G5" i="1"/>
  <c r="F5" i="1"/>
  <c r="D5" i="1"/>
  <c r="C5" i="1"/>
  <c r="B5" i="1"/>
  <c r="M4" i="1"/>
  <c r="L4" i="1"/>
  <c r="K4" i="1"/>
  <c r="J4" i="1"/>
  <c r="I4" i="1"/>
  <c r="H4" i="1"/>
  <c r="G4" i="1"/>
  <c r="F4" i="1"/>
  <c r="E4" i="1"/>
  <c r="C4" i="1"/>
  <c r="B4" i="1"/>
  <c r="M3" i="1"/>
  <c r="L3" i="1"/>
  <c r="K3" i="1"/>
  <c r="J3" i="1"/>
  <c r="I3" i="1"/>
  <c r="H3" i="1"/>
  <c r="G3" i="1"/>
  <c r="F3" i="1"/>
  <c r="E3" i="1"/>
  <c r="D3" i="1"/>
  <c r="B3" i="1"/>
  <c r="M2" i="1"/>
  <c r="L2" i="1"/>
  <c r="K2" i="1"/>
  <c r="J2" i="1"/>
  <c r="I2" i="1"/>
  <c r="H2" i="1"/>
  <c r="G2" i="1"/>
  <c r="F2" i="1"/>
  <c r="E2" i="1"/>
  <c r="D2" i="1"/>
  <c r="C2" i="1"/>
  <c r="H23" i="1"/>
  <c r="G23" i="1"/>
  <c r="F23" i="1"/>
  <c r="E23" i="1"/>
  <c r="D23" i="1"/>
  <c r="C23" i="1"/>
  <c r="B23" i="1"/>
  <c r="I22" i="1"/>
  <c r="G22" i="1"/>
  <c r="F22" i="1"/>
  <c r="E22" i="1"/>
  <c r="D22" i="1"/>
  <c r="C22" i="1"/>
  <c r="B22" i="1"/>
  <c r="I21" i="1"/>
  <c r="H21" i="1"/>
  <c r="F21" i="1"/>
  <c r="E21" i="1"/>
  <c r="D21" i="1"/>
  <c r="C21" i="1"/>
  <c r="B21" i="1"/>
  <c r="I20" i="1"/>
  <c r="H20" i="1"/>
  <c r="G20" i="1"/>
  <c r="E20" i="1"/>
  <c r="D20" i="1"/>
  <c r="C20" i="1"/>
  <c r="B20" i="1"/>
  <c r="I19" i="1"/>
  <c r="H19" i="1"/>
  <c r="G19" i="1"/>
  <c r="F19" i="1"/>
  <c r="D19" i="1"/>
  <c r="C19" i="1"/>
  <c r="B19" i="1"/>
  <c r="I18" i="1"/>
  <c r="H18" i="1"/>
  <c r="G18" i="1"/>
  <c r="F18" i="1"/>
  <c r="E18" i="1"/>
  <c r="C18" i="1"/>
  <c r="B18" i="1"/>
  <c r="I17" i="1"/>
  <c r="H17" i="1"/>
  <c r="G17" i="1"/>
  <c r="F17" i="1"/>
  <c r="E17" i="1"/>
  <c r="D17" i="1"/>
  <c r="B17" i="1"/>
  <c r="I16" i="1"/>
  <c r="H16" i="1"/>
  <c r="G16" i="1"/>
  <c r="F16" i="1"/>
  <c r="E16" i="1"/>
  <c r="D16" i="1"/>
  <c r="C16" i="1"/>
</calcChain>
</file>

<file path=xl/sharedStrings.xml><?xml version="1.0" encoding="utf-8"?>
<sst xmlns="http://schemas.openxmlformats.org/spreadsheetml/2006/main" count="1095" uniqueCount="184">
  <si>
    <t>Tope</t>
  </si>
  <si>
    <t>Jam</t>
  </si>
  <si>
    <t>Pod</t>
  </si>
  <si>
    <t>Meg</t>
  </si>
  <si>
    <t>Rosie</t>
  </si>
  <si>
    <t>Dot</t>
  </si>
  <si>
    <t>Charlie</t>
  </si>
  <si>
    <t>Pepe</t>
  </si>
  <si>
    <t>Name</t>
  </si>
  <si>
    <t>ID no.</t>
  </si>
  <si>
    <t>Age</t>
  </si>
  <si>
    <t>Sex</t>
  </si>
  <si>
    <t>M</t>
  </si>
  <si>
    <t>F</t>
  </si>
  <si>
    <t>0:21, 0:23, 0:26, 0:27, 0:49, 0:51, 0:53, 0:57</t>
  </si>
  <si>
    <t>1,4,6,8,3,5,2,7</t>
  </si>
  <si>
    <t>1:09, 1:58, 2:08, 4:52</t>
  </si>
  <si>
    <t>1,3,2,6</t>
  </si>
  <si>
    <t>0:19, 0:21, 0:22/0:22, 0:24, 0:44, 0:51, 1:30</t>
  </si>
  <si>
    <t>1:09, 2:39, 7:30</t>
  </si>
  <si>
    <t>2,1,4</t>
  </si>
  <si>
    <t>0:11, 0:13, 0:16, 1:02, 2:04, 2:07, 2:18, 3:22</t>
  </si>
  <si>
    <t>3,1,4,2,5,6,7,8</t>
  </si>
  <si>
    <t>0:51, 1:04, 3:42</t>
  </si>
  <si>
    <t>1,2,4</t>
  </si>
  <si>
    <t>0:21, 0:25/0:25, 0:38, 0:40, 0:48, 1:22,1:33</t>
  </si>
  <si>
    <t>0:54, 0:56, 1:31, 1:37, 2:12</t>
  </si>
  <si>
    <t>6,2,1,3,4</t>
  </si>
  <si>
    <t>0:20, 1:17, 1:21, 2:35, 2:45</t>
  </si>
  <si>
    <t>1,3,2,6,4</t>
  </si>
  <si>
    <t>0:23, 1:19, 1:25, 2:42</t>
  </si>
  <si>
    <t xml:space="preserve">Interaction times </t>
  </si>
  <si>
    <t>Interaction Order</t>
  </si>
  <si>
    <t>Solve Times</t>
  </si>
  <si>
    <t>Solve Order</t>
  </si>
  <si>
    <t xml:space="preserve">Task </t>
  </si>
  <si>
    <t>Leo</t>
  </si>
  <si>
    <t>Milo</t>
  </si>
  <si>
    <t>Geoff</t>
  </si>
  <si>
    <t>Biscuit</t>
  </si>
  <si>
    <t>Network 1</t>
  </si>
  <si>
    <t>Network 2</t>
  </si>
  <si>
    <t>0.25/0.75</t>
  </si>
  <si>
    <t xml:space="preserve">ID </t>
  </si>
  <si>
    <t>Social relationship</t>
  </si>
  <si>
    <t>Network membership</t>
  </si>
  <si>
    <t xml:space="preserve">Father </t>
  </si>
  <si>
    <t xml:space="preserve">Mother </t>
  </si>
  <si>
    <t>Litter 1</t>
  </si>
  <si>
    <t xml:space="preserve">Litter 2 </t>
  </si>
  <si>
    <t>Litter 3</t>
  </si>
  <si>
    <t>1 &amp; 2</t>
  </si>
  <si>
    <t>Round 1</t>
  </si>
  <si>
    <t>Round 2</t>
  </si>
  <si>
    <t>Order</t>
  </si>
  <si>
    <t>2,5/6,7,8,4,1,3</t>
  </si>
  <si>
    <t>4,5,2/6,8,3,7,1</t>
  </si>
  <si>
    <t>1,2,4,5,6,3</t>
  </si>
  <si>
    <t>00:16, 00:39, 00:49, 01:42, 01:51, 03:20</t>
  </si>
  <si>
    <t>1,2,3,4,7,5,6</t>
  </si>
  <si>
    <t>00:15, 00:38, 00:39, 00:48, 01:24, 01:31, 01:49</t>
  </si>
  <si>
    <t>2,6,1,7,3</t>
  </si>
  <si>
    <t xml:space="preserve">00:15, 00:44, 00:46, 00:59, 02:06 </t>
  </si>
  <si>
    <t>00:07, 00:08, 00:09, 00:11/00:11, 00:33, 00:34, 00:36, 06:16, 06:17, 06:18</t>
  </si>
  <si>
    <t>1,2,7,4,6</t>
  </si>
  <si>
    <t>00:27, 00:37, 01:43, 5:13, 10:54</t>
  </si>
  <si>
    <t>00:03, 00:06, 00:08/00:08, 00:10, 00:17, 00:20, 00:25/00:25, 03:55/03:55</t>
  </si>
  <si>
    <t>5,2,7,6,1,4</t>
  </si>
  <si>
    <t>00:33, 00:59, 01:46, 02:10, 02:33, 04:23</t>
  </si>
  <si>
    <t>00:08/00:08/00:08, 00:09, 00:11, 00:13, 01:06, 01:38, 05:25</t>
  </si>
  <si>
    <t>4,1,5,2</t>
  </si>
  <si>
    <t>00:27, 01:05, 01:38, 02:40</t>
  </si>
  <si>
    <t>00:03, 00:10, 00:12, 00:13, 00:18, 00:21/00:21, 00:23, 00:24, 00:30, 02:40, 03:01</t>
  </si>
  <si>
    <t>1,7,4,2/8,6,3,5,10,9,11</t>
  </si>
  <si>
    <t>2,7,5/6,4,3,10,1/8,9/12</t>
  </si>
  <si>
    <t>4/5/6,2,7,3,1,8,10</t>
  </si>
  <si>
    <t>2,6,10,4,1,9/12,3,5,7,8,11</t>
  </si>
  <si>
    <t>Leah</t>
  </si>
  <si>
    <t>Feet</t>
  </si>
  <si>
    <t>India</t>
  </si>
  <si>
    <t>Chai</t>
  </si>
  <si>
    <t>Cassia</t>
  </si>
  <si>
    <t>Cameron</t>
  </si>
  <si>
    <t>Hazel</t>
  </si>
  <si>
    <t>Daisy</t>
  </si>
  <si>
    <t>Harry</t>
  </si>
  <si>
    <t>Dougie</t>
  </si>
  <si>
    <t>Rani</t>
  </si>
  <si>
    <t>Khan</t>
  </si>
  <si>
    <t>ID number</t>
  </si>
  <si>
    <t>Mother</t>
  </si>
  <si>
    <t>Father</t>
  </si>
  <si>
    <t>Litter 2</t>
  </si>
  <si>
    <t>Litter 4</t>
  </si>
  <si>
    <t>1,6,5,9,4,10</t>
  </si>
  <si>
    <t>00:13, 02:31, 02:48, 03:06, 04:01, 04:10</t>
  </si>
  <si>
    <t>1,9,6,5,4</t>
  </si>
  <si>
    <t xml:space="preserve">00:19, 01:35, 01:46, 02:03, 03:11 </t>
  </si>
  <si>
    <t>1,10,3,9,6,7</t>
  </si>
  <si>
    <t>00:28, 01:10, 01:20, 02:04, 02:33, 03:26</t>
  </si>
  <si>
    <t>1,6,3,5,9,4</t>
  </si>
  <si>
    <t>15:31, 15:33, 16:19, 16:46, 17:39, 22:55</t>
  </si>
  <si>
    <t>1,9,6,3,4,10</t>
  </si>
  <si>
    <t>00:55, 01:02, 01:48, 06:55, 09:00, 15:27</t>
  </si>
  <si>
    <t>1,6,5,9,4,12,10</t>
  </si>
  <si>
    <t>00:07, 02:24, 02:45, 03:01, 03:59, 04:00, 04:09</t>
  </si>
  <si>
    <t>1,6,9,8,11,5,4</t>
  </si>
  <si>
    <t>00:11, 01:25, 01:27, 01:29, 01:35, 01:45, 03:07</t>
  </si>
  <si>
    <t>1,6/9,10,3/7,8,4,12,11,5,2</t>
  </si>
  <si>
    <t>00:04, 00:06/00:06, 00:35, 00:56/00:56, 01:13, 01:25, 01:27, 01:37, 02:05, 02:08</t>
  </si>
  <si>
    <t>1,5,9,4,7/8,6,10,3,2/12,11</t>
  </si>
  <si>
    <t>00:07, 07:45, 07:47, 07:52, 07:57, 08:10, 08:11/08:11, 09:18, 09:21/09:21, 11:05</t>
  </si>
  <si>
    <t>9,6,7/10,1/8,3,5,11,4,12,2</t>
  </si>
  <si>
    <t>00:04, 00:22/00:22, 00:24/00:24, 00:32, 00:58, 01:09, 01:10, 02:02, 02:54, 03:36</t>
  </si>
  <si>
    <t>0:08/0:08, 0:19, 0:42, 0:43</t>
  </si>
  <si>
    <t>1,4,9,5,6,3,7</t>
  </si>
  <si>
    <t>0:09, 0:13, 0:16,0:31, 0:45,1:03, 1:25</t>
  </si>
  <si>
    <t>1,9,3,7,6</t>
  </si>
  <si>
    <t>0:26, 0:30, 0:34, 0:39, 1:22</t>
  </si>
  <si>
    <t>1,5,3,4</t>
  </si>
  <si>
    <t>0:31, 0:32, 0:45, 1:26</t>
  </si>
  <si>
    <t>9,4,3,1,10,6</t>
  </si>
  <si>
    <t>0:20, 0:52, 0:57, 1:11, 1:21, 2:01</t>
  </si>
  <si>
    <t>4,9,6,2,1</t>
  </si>
  <si>
    <t>0:03, 0:05, 0:15, 0:28, 0:40</t>
  </si>
  <si>
    <t>0:03, 0:05, 0:08/0:08, 0:09/0:09, 0:28, 0:59, 1:17</t>
  </si>
  <si>
    <t>0:02, 0:18, 0:19/0:19, 0:21/0:21/0:21, 0:22, 0:30, 0:53, 0:55, 2:18</t>
  </si>
  <si>
    <t>0:04/0:04/0:04/0:04/0:04, 0:08, 0:10, 0:11, 0:12, 0:17, 0:57, 1:25</t>
  </si>
  <si>
    <t>0:05, 0:08/0:08/0:08, 0:09, 0:10, 0:11, 0:14,0:14,0:16, 0:21, 2:28</t>
  </si>
  <si>
    <t>4/9,6,3,1</t>
  </si>
  <si>
    <t>1,8,4/6,9/12,5,3,7</t>
  </si>
  <si>
    <t>6,9,8/12,1/4/7,3,5,2,10,11</t>
  </si>
  <si>
    <t>1/4/5/7/6,9,2,12,8,3,10,11</t>
  </si>
  <si>
    <t>3,1/4/6,9,10,5,7/11,8,2,12</t>
  </si>
  <si>
    <t>Flint</t>
  </si>
  <si>
    <t>Magma</t>
  </si>
  <si>
    <t>Fossil</t>
  </si>
  <si>
    <t>Moon</t>
  </si>
  <si>
    <t>Earth</t>
  </si>
  <si>
    <t xml:space="preserve">Earth </t>
  </si>
  <si>
    <t>3,4,2,1</t>
  </si>
  <si>
    <t>00:21, 00:29, 00:33, 00:40</t>
  </si>
  <si>
    <t>00:15/00:15/00:15, 00:16</t>
  </si>
  <si>
    <t>3,2,1</t>
  </si>
  <si>
    <t>00:28, 00:46, 02:40</t>
  </si>
  <si>
    <t>00:25/00:25, 00:26</t>
  </si>
  <si>
    <t>3,4,2</t>
  </si>
  <si>
    <t>01:29, 33:48, 34:54</t>
  </si>
  <si>
    <t>00:17/00:17, 00:19, 00:20</t>
  </si>
  <si>
    <t>2,3,1</t>
  </si>
  <si>
    <t>00:28, 01:30, 01:36</t>
  </si>
  <si>
    <t>00:03/00:03/00:03, 00:04</t>
  </si>
  <si>
    <t>00:09/00:09/00:09, 00:10</t>
  </si>
  <si>
    <t>1/3/4,2</t>
  </si>
  <si>
    <t>1/3,2</t>
  </si>
  <si>
    <t>1/3,2,4</t>
  </si>
  <si>
    <t>1/2/3,4</t>
  </si>
  <si>
    <t>2,1,4,5</t>
  </si>
  <si>
    <t>1:04, 1:06, 1:27, 1:34</t>
  </si>
  <si>
    <t>2,3,1,5</t>
  </si>
  <si>
    <t>1:20, 1:33, 1:47, 3:44</t>
  </si>
  <si>
    <t>2,3,5,1</t>
  </si>
  <si>
    <t>1:53, 3:15, 5:48, 6:33</t>
  </si>
  <si>
    <t>2,1</t>
  </si>
  <si>
    <t>1:08, 5:16</t>
  </si>
  <si>
    <t>0:56, 0:57, 1:02,1:05</t>
  </si>
  <si>
    <t>1:15, 1:16, 1:21, 1:25</t>
  </si>
  <si>
    <t>0:55, 0:58, 1:02, 2:35</t>
  </si>
  <si>
    <t>1,2,3,4,5</t>
  </si>
  <si>
    <t>0:30, 0:32, 0:36, 0:41, 0:43</t>
  </si>
  <si>
    <t>1:05, 1:07, 1:10, 1:12, 1:14</t>
  </si>
  <si>
    <t>2,1,4/5,3</t>
  </si>
  <si>
    <t>1,2/4,5,3</t>
  </si>
  <si>
    <t>3/2,4,5,1</t>
  </si>
  <si>
    <t>Site</t>
  </si>
  <si>
    <t>Difficulty</t>
  </si>
  <si>
    <t>OtterID</t>
  </si>
  <si>
    <t>AgeCon</t>
  </si>
  <si>
    <t>SolveI</t>
  </si>
  <si>
    <t>Presentation</t>
  </si>
  <si>
    <t>NQ</t>
  </si>
  <si>
    <t>NA</t>
  </si>
  <si>
    <t>TA</t>
  </si>
  <si>
    <t>NF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</si>
</sst>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u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rgb="FF000000"/>
      <name val="Calibri"/>
      <family val="2"/>
      <scheme val="minor"/>
    </font>
    <font>
      <sz val="1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34998626667073579"/>
        <bgColor indexed="64"/>
      </patternFill>
    </fill>
  </fills>
  <borders count="7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51">
    <xf numFmtId="0" fontId="0" fillId="0" borderId="0" xfId="0"/>
    <xf numFmtId="0" fontId="0" fillId="0" borderId="1" xfId="0" applyBorder="1"/>
    <xf numFmtId="0" fontId="2" fillId="2" borderId="1" xfId="0" applyFont="1" applyFill="1" applyBorder="1"/>
    <xf numFmtId="0" fontId="2" fillId="2" borderId="2" xfId="0" applyFont="1" applyFill="1" applyBorder="1"/>
    <xf numFmtId="0" fontId="2" fillId="2" borderId="3" xfId="0" applyFont="1" applyFill="1" applyBorder="1"/>
    <xf numFmtId="0" fontId="0" fillId="3" borderId="3" xfId="0" applyFill="1" applyBorder="1"/>
    <xf numFmtId="2" fontId="0" fillId="0" borderId="3" xfId="0" applyNumberFormat="1" applyBorder="1"/>
    <xf numFmtId="2" fontId="0" fillId="0" borderId="1" xfId="0" applyNumberFormat="1" applyBorder="1"/>
    <xf numFmtId="2" fontId="0" fillId="3" borderId="1" xfId="0" applyNumberFormat="1" applyFill="1" applyBorder="1"/>
    <xf numFmtId="2" fontId="0" fillId="3" borderId="3" xfId="0" applyNumberFormat="1" applyFill="1" applyBorder="1"/>
    <xf numFmtId="2" fontId="0" fillId="3" borderId="4" xfId="0" applyNumberFormat="1" applyFill="1" applyBorder="1"/>
    <xf numFmtId="2" fontId="0" fillId="0" borderId="4" xfId="0" applyNumberFormat="1" applyBorder="1"/>
    <xf numFmtId="0" fontId="2" fillId="2" borderId="4" xfId="0" applyFont="1" applyFill="1" applyBorder="1"/>
    <xf numFmtId="2" fontId="0" fillId="3" borderId="5" xfId="0" applyNumberFormat="1" applyFill="1" applyBorder="1"/>
    <xf numFmtId="0" fontId="2" fillId="2" borderId="0" xfId="0" applyFont="1" applyFill="1"/>
    <xf numFmtId="2" fontId="1" fillId="0" borderId="6" xfId="0" applyNumberFormat="1" applyFont="1" applyBorder="1"/>
    <xf numFmtId="2" fontId="2" fillId="2" borderId="2" xfId="0" applyNumberFormat="1" applyFont="1" applyFill="1" applyBorder="1"/>
    <xf numFmtId="2" fontId="2" fillId="2" borderId="1" xfId="0" applyNumberFormat="1" applyFont="1" applyFill="1" applyBorder="1"/>
    <xf numFmtId="2" fontId="1" fillId="3" borderId="6" xfId="0" applyNumberFormat="1" applyFont="1" applyFill="1" applyBorder="1"/>
    <xf numFmtId="2" fontId="1" fillId="0" borderId="4" xfId="0" applyNumberFormat="1" applyFont="1" applyBorder="1"/>
    <xf numFmtId="2" fontId="1" fillId="0" borderId="1" xfId="0" applyNumberFormat="1" applyFont="1" applyBorder="1"/>
    <xf numFmtId="2" fontId="1" fillId="0" borderId="2" xfId="0" applyNumberFormat="1" applyFont="1" applyBorder="1"/>
    <xf numFmtId="2" fontId="1" fillId="3" borderId="2" xfId="0" applyNumberFormat="1" applyFont="1" applyFill="1" applyBorder="1"/>
    <xf numFmtId="2" fontId="1" fillId="3" borderId="1" xfId="0" applyNumberFormat="1" applyFont="1" applyFill="1" applyBorder="1"/>
    <xf numFmtId="2" fontId="3" fillId="4" borderId="6" xfId="0" applyNumberFormat="1" applyFont="1" applyFill="1" applyBorder="1"/>
    <xf numFmtId="0" fontId="0" fillId="0" borderId="1" xfId="0" applyBorder="1" applyAlignment="1">
      <alignment horizontal="right"/>
    </xf>
    <xf numFmtId="0" fontId="0" fillId="0" borderId="0" xfId="0" applyBorder="1"/>
    <xf numFmtId="0" fontId="0" fillId="0" borderId="0" xfId="0" applyBorder="1" applyAlignment="1">
      <alignment horizontal="right"/>
    </xf>
    <xf numFmtId="0" fontId="3" fillId="4" borderId="1" xfId="0" applyFont="1" applyFill="1" applyBorder="1"/>
    <xf numFmtId="0" fontId="1" fillId="0" borderId="1" xfId="0" applyFont="1" applyBorder="1"/>
    <xf numFmtId="0" fontId="5" fillId="2" borderId="1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 horizontal="left" vertical="center"/>
    </xf>
    <xf numFmtId="0" fontId="2" fillId="0" borderId="1" xfId="0" applyFont="1" applyFill="1" applyBorder="1" applyAlignment="1">
      <alignment vertical="center"/>
    </xf>
    <xf numFmtId="1" fontId="0" fillId="0" borderId="1" xfId="0" applyNumberFormat="1" applyBorder="1"/>
    <xf numFmtId="2" fontId="0" fillId="0" borderId="1" xfId="0" applyNumberFormat="1" applyBorder="1" applyAlignment="1">
      <alignment horizontal="right"/>
    </xf>
    <xf numFmtId="1" fontId="0" fillId="0" borderId="1" xfId="0" applyNumberFormat="1" applyFill="1" applyBorder="1"/>
    <xf numFmtId="2" fontId="6" fillId="0" borderId="1" xfId="0" applyNumberFormat="1" applyFont="1" applyBorder="1" applyAlignment="1">
      <alignment horizontal="right"/>
    </xf>
    <xf numFmtId="45" fontId="0" fillId="0" borderId="1" xfId="0" applyNumberFormat="1" applyBorder="1" applyAlignment="1">
      <alignment horizontal="right"/>
    </xf>
    <xf numFmtId="0" fontId="6" fillId="0" borderId="1" xfId="0" applyFont="1" applyBorder="1" applyAlignment="1">
      <alignment horizontal="right"/>
    </xf>
    <xf numFmtId="2" fontId="1" fillId="5" borderId="6" xfId="0" applyNumberFormat="1" applyFont="1" applyFill="1" applyBorder="1"/>
    <xf numFmtId="2" fontId="2" fillId="2" borderId="4" xfId="0" applyNumberFormat="1" applyFont="1" applyFill="1" applyBorder="1"/>
    <xf numFmtId="2" fontId="1" fillId="0" borderId="0" xfId="0" applyNumberFormat="1" applyFont="1"/>
    <xf numFmtId="0" fontId="0" fillId="0" borderId="0" xfId="0" applyBorder="1" applyAlignment="1">
      <alignment horizontal="left"/>
    </xf>
    <xf numFmtId="2" fontId="1" fillId="5" borderId="1" xfId="0" applyNumberFormat="1" applyFont="1" applyFill="1" applyBorder="1"/>
    <xf numFmtId="0" fontId="2" fillId="2" borderId="1" xfId="0" applyFont="1" applyFill="1" applyBorder="1" applyAlignment="1">
      <alignment horizontal="left"/>
    </xf>
    <xf numFmtId="2" fontId="3" fillId="0" borderId="1" xfId="0" applyNumberFormat="1" applyFont="1" applyBorder="1"/>
    <xf numFmtId="0" fontId="0" fillId="0" borderId="1" xfId="0" applyFont="1" applyFill="1" applyBorder="1" applyAlignment="1">
      <alignment horizontal="right"/>
    </xf>
    <xf numFmtId="20" fontId="6" fillId="0" borderId="1" xfId="0" applyNumberFormat="1" applyFont="1" applyBorder="1" applyAlignment="1">
      <alignment horizontal="right"/>
    </xf>
    <xf numFmtId="49" fontId="6" fillId="0" borderId="1" xfId="0" applyNumberFormat="1" applyFont="1" applyBorder="1" applyAlignment="1">
      <alignment horizontal="right"/>
    </xf>
    <xf numFmtId="20" fontId="6" fillId="0" borderId="1" xfId="0" applyNumberFormat="1" applyFont="1" applyBorder="1"/>
    <xf numFmtId="0" fontId="2" fillId="2" borderId="1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8382E2-4043-48BD-8F56-1B98F62C94CF}">
  <dimension ref="A1:AB37"/>
  <sheetViews>
    <sheetView topLeftCell="M1" workbookViewId="0">
      <selection activeCell="R18" sqref="R18"/>
    </sheetView>
  </sheetViews>
  <sheetFormatPr defaultRowHeight="15" x14ac:dyDescent="0.25"/>
  <cols>
    <col min="1" max="1" width="10.42578125" customWidth="1"/>
    <col min="17" max="17" width="23" customWidth="1"/>
    <col min="18" max="18" width="67" customWidth="1"/>
    <col min="19" max="19" width="18.140625" customWidth="1"/>
    <col min="20" max="20" width="35.5703125" customWidth="1"/>
    <col min="21" max="21" width="9.28515625" customWidth="1"/>
    <col min="22" max="22" width="9.140625" customWidth="1"/>
    <col min="24" max="24" width="9.28515625" customWidth="1"/>
    <col min="25" max="25" width="9.5703125" customWidth="1"/>
    <col min="26" max="26" width="9.28515625" customWidth="1"/>
    <col min="27" max="27" width="9.140625" customWidth="1"/>
  </cols>
  <sheetData>
    <row r="1" spans="1:28" x14ac:dyDescent="0.25">
      <c r="A1" s="24" t="s">
        <v>40</v>
      </c>
      <c r="B1" s="16" t="s">
        <v>0</v>
      </c>
      <c r="C1" s="17" t="s">
        <v>1</v>
      </c>
      <c r="D1" s="16" t="s">
        <v>2</v>
      </c>
      <c r="E1" s="17" t="s">
        <v>3</v>
      </c>
      <c r="F1" s="17" t="s">
        <v>36</v>
      </c>
      <c r="G1" s="17" t="s">
        <v>37</v>
      </c>
      <c r="H1" s="16" t="s">
        <v>38</v>
      </c>
      <c r="I1" s="16" t="s">
        <v>4</v>
      </c>
      <c r="J1" s="17" t="s">
        <v>5</v>
      </c>
      <c r="K1" s="16" t="s">
        <v>6</v>
      </c>
      <c r="L1" s="17" t="s">
        <v>39</v>
      </c>
      <c r="M1" s="17" t="s">
        <v>7</v>
      </c>
      <c r="O1" s="32"/>
      <c r="P1" s="17" t="s">
        <v>35</v>
      </c>
      <c r="Q1" s="17" t="s">
        <v>32</v>
      </c>
      <c r="R1" s="17" t="s">
        <v>31</v>
      </c>
      <c r="S1" s="17" t="s">
        <v>34</v>
      </c>
      <c r="T1" s="2" t="s">
        <v>33</v>
      </c>
      <c r="U1" s="31"/>
    </row>
    <row r="2" spans="1:28" x14ac:dyDescent="0.25">
      <c r="A2" s="17" t="s">
        <v>0</v>
      </c>
      <c r="B2" s="18">
        <v>0</v>
      </c>
      <c r="C2" s="19">
        <f>SUM(8,7,6,10,7,10,6,8,5,8,7,5,5,6,4)/180</f>
        <v>0.56666666666666665</v>
      </c>
      <c r="D2" s="19">
        <f>SUM(4,7,5,9,9,7,4,3,6,1,5,2,8,4,4)/180</f>
        <v>0.43333333333333335</v>
      </c>
      <c r="E2" s="19">
        <f>SUM(2,9,7,4,6,4,2,4,1,7,7,4,3,7,2)/180</f>
        <v>0.38333333333333336</v>
      </c>
      <c r="F2" s="19">
        <f>SUM(3,8,5,1,5,1,2,2,1,5,4,5,5,3,5)/180</f>
        <v>0.30555555555555558</v>
      </c>
      <c r="G2" s="19">
        <f>SUM(3,8,8,5,4,5,6,2,4,6,7,6,4,10,2)/180</f>
        <v>0.44444444444444442</v>
      </c>
      <c r="H2" s="20">
        <f>SUM(2,8,5,4,6,5,3,1,1,5,6,7,4,3,1)/180</f>
        <v>0.33888888888888891</v>
      </c>
      <c r="I2" s="15">
        <f>SUM(4,6,8,1,5,4,4,5,2,8,3,3,4,9,4)/180</f>
        <v>0.3888888888888889</v>
      </c>
      <c r="J2" s="19">
        <f>SUM(1,5,4,2,4,9,5,5,10,8,4,4,1,5,7)/180</f>
        <v>0.41111111111111109</v>
      </c>
      <c r="K2" s="19">
        <f>SUM(1,4,4,3,4,9,6,5,10,7,4,0,4,5,8)/180</f>
        <v>0.41111111111111109</v>
      </c>
      <c r="L2" s="19">
        <f>SUM(1,3,4,2,4,9,5,2,10,6,4,1,5,7,0)/180</f>
        <v>0.35</v>
      </c>
      <c r="M2" s="19">
        <f>SUM(1,3,3,3,4,9,5,3,9,5,6,0,1,4,8)/180</f>
        <v>0.35555555555555557</v>
      </c>
      <c r="O2" s="50" t="s">
        <v>52</v>
      </c>
      <c r="P2" s="33">
        <v>1</v>
      </c>
      <c r="Q2" s="38" t="s">
        <v>59</v>
      </c>
      <c r="R2" s="25" t="s">
        <v>60</v>
      </c>
      <c r="S2" s="25" t="s">
        <v>57</v>
      </c>
      <c r="T2" s="37" t="s">
        <v>58</v>
      </c>
      <c r="U2" s="27"/>
    </row>
    <row r="3" spans="1:28" x14ac:dyDescent="0.25">
      <c r="A3" s="17" t="s">
        <v>1</v>
      </c>
      <c r="B3" s="19">
        <f>SUM(8,7,6,10,7,10,6,8,5,8,7,5,5,6,4)/180</f>
        <v>0.56666666666666665</v>
      </c>
      <c r="C3" s="18">
        <v>0</v>
      </c>
      <c r="D3" s="20">
        <f>SUM(6,6,3,7,3,5,9,1,6,9,2,5,8,3,2)/180</f>
        <v>0.41666666666666669</v>
      </c>
      <c r="E3" s="20">
        <f>SUM(3,3,0,4,2,6,6,3,8,9,3,9,3,3,5)/180</f>
        <v>0.37222222222222223</v>
      </c>
      <c r="F3" s="20">
        <f>SUM(4,2,3,7,3,8,3,3,7,7,2,7,5,3,2)/180</f>
        <v>0.36666666666666664</v>
      </c>
      <c r="G3" s="20">
        <f>SUM(5,4,1,9,4,8,6,4,9,8,3,7,3,6,5)/180</f>
        <v>0.45555555555555555</v>
      </c>
      <c r="H3" s="20">
        <f>SUM(5,4,2,7,3,8,2,2,6,5,4,8,2,5,3)/180</f>
        <v>0.36666666666666664</v>
      </c>
      <c r="I3" s="21">
        <f>SUM(1,2,6,6,5,7,4,4,9,6,4,2,3,4,6)/180</f>
        <v>0.38333333333333336</v>
      </c>
      <c r="J3" s="20">
        <f>SUM(6,7,0,4,4,7,8,2,5,7,6,3,4,3,1)/180</f>
        <v>0.37222222222222223</v>
      </c>
      <c r="K3" s="20">
        <f>SUM(1,2,4,5,4,7,5,4,8,5,4,1,3,4,8)/180</f>
        <v>0.3611111111111111</v>
      </c>
      <c r="L3" s="20">
        <f>SUM(6,4,0,1,4,5,8,1,5,8,6,3,4,2,1)/180</f>
        <v>0.32222222222222224</v>
      </c>
      <c r="M3" s="20">
        <f>SUM(1,2,3,4,5,8,5,4,9,5,4,1,0,3,8)/180</f>
        <v>0.34444444444444444</v>
      </c>
      <c r="O3" s="50"/>
      <c r="P3" s="33">
        <v>2</v>
      </c>
      <c r="Q3" s="38" t="s">
        <v>73</v>
      </c>
      <c r="R3" s="25" t="s">
        <v>63</v>
      </c>
      <c r="S3" s="25" t="s">
        <v>61</v>
      </c>
      <c r="T3" s="25" t="s">
        <v>62</v>
      </c>
      <c r="U3" s="27"/>
    </row>
    <row r="4" spans="1:28" x14ac:dyDescent="0.25">
      <c r="A4" s="17" t="s">
        <v>2</v>
      </c>
      <c r="B4" s="19">
        <f>SUM(4,7,5,9,9,7,4,3,6,1,5,2,8,4,4)/180</f>
        <v>0.43333333333333335</v>
      </c>
      <c r="C4" s="20">
        <f>SUM(6,6,3,7,3,5,9,1,6,9,2,5,8,3,2)/180</f>
        <v>0.41666666666666669</v>
      </c>
      <c r="D4" s="18">
        <v>0</v>
      </c>
      <c r="E4" s="20">
        <f>SUM(5,4,4,5,3,5,7,0,6,6,4,3,2,3,2)/180</f>
        <v>0.32777777777777778</v>
      </c>
      <c r="F4" s="20">
        <f>SUM(2,1,4,5,4,7,5,1,3,4,2,5,2,2,4)/180</f>
        <v>0.28333333333333333</v>
      </c>
      <c r="G4" s="20">
        <f>SUM(5,5,2,4,2,5,9,2,6,8,1,6,1,5,2)/180</f>
        <v>0.35</v>
      </c>
      <c r="H4" s="20">
        <f>SUM(1,2,1,6,2,5,6,1,3,5,3,4,0,3,5)/180</f>
        <v>0.26111111111111113</v>
      </c>
      <c r="I4" s="21">
        <f>SUM(6,8,7,1,4,2,8,7,4,8,6,6,5,5,2)/180</f>
        <v>0.43888888888888888</v>
      </c>
      <c r="J4" s="20">
        <f>SUM(2,5,5,2,4,8,4,6,8,3,5,3,3,10,6)/180</f>
        <v>0.41111111111111109</v>
      </c>
      <c r="K4" s="15">
        <f>SUM(7,7,2,1,4,3,9,4,4,8,6,4,7,5,2)/180</f>
        <v>0.40555555555555556</v>
      </c>
      <c r="L4" s="20">
        <f>SUM(3,5,4,2,4,9,4,4,8,2,4,1,3,8,6)/180</f>
        <v>0.37222222222222223</v>
      </c>
      <c r="M4" s="20">
        <f>SUM(7,8,3,1,4,3,8,5,4,9,7,3,3,7,2)/180</f>
        <v>0.41111111111111109</v>
      </c>
      <c r="O4" s="50"/>
      <c r="P4" s="33">
        <v>3</v>
      </c>
      <c r="Q4" s="38" t="s">
        <v>74</v>
      </c>
      <c r="R4" s="25" t="s">
        <v>66</v>
      </c>
      <c r="S4" s="25" t="s">
        <v>64</v>
      </c>
      <c r="T4" s="25" t="s">
        <v>65</v>
      </c>
      <c r="U4" s="27"/>
    </row>
    <row r="5" spans="1:28" x14ac:dyDescent="0.25">
      <c r="A5" s="17" t="s">
        <v>3</v>
      </c>
      <c r="B5" s="19">
        <f>SUM(2,9,7,4,6,4,2,4,1,7,7,4,3,7,2)/180</f>
        <v>0.38333333333333336</v>
      </c>
      <c r="C5" s="20">
        <f>SUM(3,3,0,4,2,6,6,3,8,9,3,9,3,3,5)/180</f>
        <v>0.37222222222222223</v>
      </c>
      <c r="D5" s="20">
        <f>SUM(5,4,4,5,3,5,7,0,6,6,4,3,2,3,2)/180</f>
        <v>0.32777777777777778</v>
      </c>
      <c r="E5" s="18">
        <v>0</v>
      </c>
      <c r="F5" s="20">
        <f>SUM(1,2,2,5,4,6,4,2,2,8,5,6,4,6,6)/180</f>
        <v>0.35</v>
      </c>
      <c r="G5" s="20">
        <f>SUM(7,7,4,7,5,8,7,3,5,8,3,6,4,3,3)/180</f>
        <v>0.44444444444444442</v>
      </c>
      <c r="H5" s="20">
        <f>SUM(1,3,5,5,3,6,6,2,5,8,4,5,2,3,7)/180</f>
        <v>0.3611111111111111</v>
      </c>
      <c r="I5" s="21">
        <f>SUM(8,5,2,2,2,5,7,3,6,5,5,8,2,5,3)/180</f>
        <v>0.37777777777777777</v>
      </c>
      <c r="J5" s="20">
        <f>SUM(3,5,1,8,5,5,4,2,7,6,3,3,0,5,8)/180</f>
        <v>0.3611111111111111</v>
      </c>
      <c r="K5" s="20">
        <f>SUM(9,5,0,1,3,6,7,4,5,5,6,8,0,4,4)/180</f>
        <v>0.37222222222222223</v>
      </c>
      <c r="L5" s="15">
        <f>SUM(3,5,2,8,5,6,4,2,7,5,2,1,0,6,8)/180</f>
        <v>0.35555555555555557</v>
      </c>
      <c r="M5" s="20">
        <f>SUM(8,3,0,1,2,5,8,2,4,6,5,8,2,5,3)/180</f>
        <v>0.34444444444444444</v>
      </c>
      <c r="O5" s="50"/>
      <c r="P5" s="33">
        <v>4</v>
      </c>
      <c r="Q5" s="38" t="s">
        <v>75</v>
      </c>
      <c r="R5" s="25" t="s">
        <v>69</v>
      </c>
      <c r="S5" s="25" t="s">
        <v>67</v>
      </c>
      <c r="T5" s="25" t="s">
        <v>68</v>
      </c>
      <c r="U5" s="27"/>
    </row>
    <row r="6" spans="1:28" x14ac:dyDescent="0.25">
      <c r="A6" s="17" t="s">
        <v>36</v>
      </c>
      <c r="B6" s="19">
        <f>SUM(3,8,5,1,5,1,2,2,1,5,4,5,5,3,5)/180</f>
        <v>0.30555555555555558</v>
      </c>
      <c r="C6" s="20">
        <f>SUM(4,2,3,7,3,8,3,3,7,7,2,7,5,3,2)/180</f>
        <v>0.36666666666666664</v>
      </c>
      <c r="D6" s="20">
        <f>SUM(2,1,4,5,4,7,5,1,3,4,2,5,2,2,4)/180</f>
        <v>0.28333333333333333</v>
      </c>
      <c r="E6" s="20">
        <f>SUM(1,2,2,5,4,6,4,2,2,8,5,6,4,6,6)/180</f>
        <v>0.35</v>
      </c>
      <c r="F6" s="18">
        <v>0</v>
      </c>
      <c r="G6" s="20">
        <f>SUM(3,3,2,7,5,8,5,6,4,9,5,6,3,6,8)/180</f>
        <v>0.44444444444444442</v>
      </c>
      <c r="H6" s="20">
        <f>SUM(8,5,2,7,6,9,8,5,4,8,4,9,1,3,3)/180</f>
        <v>0.45555555555555555</v>
      </c>
      <c r="I6" s="21">
        <f>SUM(3,2,3,4,4,5,3,3,3,5,2,2,2,3,6)/180</f>
        <v>0.27777777777777779</v>
      </c>
      <c r="J6" s="20">
        <f>SUM(5,3,0,3,2,7,2,3,5,5,4,3,2,3,3)/180</f>
        <v>0.27777777777777779</v>
      </c>
      <c r="K6" s="20">
        <f>SUM(3,1,2,4,4,5,5,2,3,5,2,1,0,2,6)/180</f>
        <v>0.25</v>
      </c>
      <c r="L6" s="20">
        <f>SUM(5,2,0,1,2,5,2,0,5,6,4,3,2,1,2)/180</f>
        <v>0.22222222222222221</v>
      </c>
      <c r="M6" s="15">
        <f>SUM(3,1,2,4,4,6,5,2,2,6,2,1,0,1,6)/180</f>
        <v>0.25</v>
      </c>
      <c r="O6" s="50"/>
      <c r="P6" s="33">
        <v>5</v>
      </c>
      <c r="Q6" s="38" t="s">
        <v>76</v>
      </c>
      <c r="R6" s="25" t="s">
        <v>72</v>
      </c>
      <c r="S6" s="25" t="s">
        <v>70</v>
      </c>
      <c r="T6" s="25" t="s">
        <v>71</v>
      </c>
      <c r="U6" s="27"/>
    </row>
    <row r="7" spans="1:28" x14ac:dyDescent="0.25">
      <c r="A7" s="17" t="s">
        <v>37</v>
      </c>
      <c r="B7" s="19">
        <f>SUM(3,8,8,5,4,5,6,2,4,6,7,6,4,10,2)/180</f>
        <v>0.44444444444444442</v>
      </c>
      <c r="C7" s="20">
        <f>SUM(5,4,1,9,4,8,6,4,9,8,3,7,3,6,5)/180</f>
        <v>0.45555555555555555</v>
      </c>
      <c r="D7" s="20">
        <f>SUM(5,5,2,4,2,5,9,2,6,8,1,6,1,5,2)/180</f>
        <v>0.35</v>
      </c>
      <c r="E7" s="20">
        <f>SUM(7,7,4,7,5,8,7,3,5,8,3,6,4,3,3)/180</f>
        <v>0.44444444444444442</v>
      </c>
      <c r="F7" s="20">
        <f>SUM(3,3,2,7,5,8,5,6,4,9,5,6,3,6,8)/180</f>
        <v>0.44444444444444442</v>
      </c>
      <c r="G7" s="18">
        <v>0</v>
      </c>
      <c r="H7" s="20">
        <f>SUM(10,6,1,5,4,10,4,5,7,8,3,8,4,4,6)/180</f>
        <v>0.47222222222222221</v>
      </c>
      <c r="I7" s="21">
        <f>SUM(6,5,2,4,4,6,3,2,9,6,2,1,1,4,7)/180</f>
        <v>0.34444444444444444</v>
      </c>
      <c r="J7" s="20">
        <f>SUM(6,6,1,3,2,8,9,2,3,7,4,4,1,6,6)/180</f>
        <v>0.37777777777777777</v>
      </c>
      <c r="K7" s="20">
        <f>SUM(5,4,0,4,4,7,3,2,10,6,2,0,1,4,7)/180</f>
        <v>0.32777777777777778</v>
      </c>
      <c r="L7" s="20">
        <f>SUM(6,5,1,0,2,6,9,0,3,8,4,4,3,4,5)/180</f>
        <v>0.33333333333333331</v>
      </c>
      <c r="M7" s="20">
        <f>SUM(6,4,2,4,4,8,3,0,9,6,3,0,1,4,7)/180</f>
        <v>0.33888888888888891</v>
      </c>
      <c r="O7" s="50" t="s">
        <v>53</v>
      </c>
      <c r="P7" s="33">
        <v>1</v>
      </c>
      <c r="Q7" s="36" t="s">
        <v>29</v>
      </c>
      <c r="R7" s="34" t="s">
        <v>28</v>
      </c>
      <c r="S7" s="34" t="s">
        <v>17</v>
      </c>
      <c r="T7" s="34" t="s">
        <v>30</v>
      </c>
      <c r="U7" s="27"/>
    </row>
    <row r="8" spans="1:28" x14ac:dyDescent="0.25">
      <c r="A8" s="17" t="s">
        <v>38</v>
      </c>
      <c r="B8" s="20">
        <f>SUM(2,8,5,4,6,5,3,1,1,5,6,7,4,3,1)/180</f>
        <v>0.33888888888888891</v>
      </c>
      <c r="C8" s="20">
        <f>SUM(5,4,2,7,3,8,2,2,6,5,4,8,2,5,3)/180</f>
        <v>0.36666666666666664</v>
      </c>
      <c r="D8" s="20">
        <f>SUM(1,2,1,6,2,5,6,1,3,5,3,4,0,3,5)/180</f>
        <v>0.26111111111111113</v>
      </c>
      <c r="E8" s="20">
        <f>SUM(1,3,5,5,3,6,6,2,5,8,4,5,2,3,7)/180</f>
        <v>0.3611111111111111</v>
      </c>
      <c r="F8" s="20">
        <f>SUM(8,5,2,7,6,9,8,5,4,8,4,9,1,3,3)/180</f>
        <v>0.45555555555555555</v>
      </c>
      <c r="G8" s="20">
        <f>SUM(10,6,1,5,4,10,4,5,7,8,3,8,4,4,6)/180</f>
        <v>0.47222222222222221</v>
      </c>
      <c r="H8" s="18">
        <v>0</v>
      </c>
      <c r="I8" s="21">
        <f>SUM(6,2,0,2,2,6,2,2,4,4,2,4,3,3,3)/180</f>
        <v>0.25</v>
      </c>
      <c r="J8" s="20">
        <f>SUM(3,3,2,3,2,5,3,2,2,8,2,2,0,3,6)/180</f>
        <v>0.25555555555555554</v>
      </c>
      <c r="K8" s="20">
        <f>SUM(7,2,1,1,2,6,3,1,3,5,2,4,1,2,2)/180</f>
        <v>0.23333333333333334</v>
      </c>
      <c r="L8" s="20">
        <f>SUM(2,2,4,3,2,5,3,0,2,6,2,1,0,2,6)/180</f>
        <v>0.22222222222222221</v>
      </c>
      <c r="M8" s="20">
        <f>SUM(7,3,0,1,2,6,2,0,3,5,2,4,4,4,3)/180</f>
        <v>0.25555555555555554</v>
      </c>
      <c r="O8" s="50"/>
      <c r="P8" s="33">
        <v>2</v>
      </c>
      <c r="Q8" s="36" t="s">
        <v>55</v>
      </c>
      <c r="R8" s="34" t="s">
        <v>25</v>
      </c>
      <c r="S8" s="34" t="s">
        <v>27</v>
      </c>
      <c r="T8" s="34" t="s">
        <v>26</v>
      </c>
      <c r="U8" s="27"/>
    </row>
    <row r="9" spans="1:28" x14ac:dyDescent="0.25">
      <c r="A9" s="17" t="s">
        <v>4</v>
      </c>
      <c r="B9" s="15">
        <f>SUM(4,6,8,1,5,4,4,5,2,8,3,3,4,9,4)/180</f>
        <v>0.3888888888888889</v>
      </c>
      <c r="C9" s="21">
        <f>SUM(1,2,6,6,5,7,4,4,9,6,4,2,3,4,6)/180</f>
        <v>0.38333333333333336</v>
      </c>
      <c r="D9" s="21">
        <f>SUM(6,8,7,1,4,2,8,7,4,8,6,6,5,5,2)/180</f>
        <v>0.43888888888888888</v>
      </c>
      <c r="E9" s="21">
        <f>SUM(8,5,2,2,2,5,7,3,6,5,5,8,2,5,3)/180</f>
        <v>0.37777777777777777</v>
      </c>
      <c r="F9" s="21">
        <f>SUM(3,2,3,4,4,5,3,3,3,5,2,2,2,3,6)/180</f>
        <v>0.27777777777777779</v>
      </c>
      <c r="G9" s="21">
        <f>SUM(6,5,2,4,4,6,3,2,9,6,2,1,1,4,7)/180</f>
        <v>0.34444444444444444</v>
      </c>
      <c r="H9" s="21">
        <f>SUM(6,2,0,2,2,6,2,2,4,4,2,4,3,3,3)/180</f>
        <v>0.25</v>
      </c>
      <c r="I9" s="22">
        <v>0</v>
      </c>
      <c r="J9" s="20">
        <f>SUM(10,8,5,9,10,8,7,9,9,6,10,7,7,8,11)/180</f>
        <v>0.68888888888888888</v>
      </c>
      <c r="K9" s="15">
        <f>SUM(8,6,4,6,10,8,11,7,7,8,11,12,5,10,10)/180</f>
        <v>0.68333333333333335</v>
      </c>
      <c r="L9" s="20">
        <f>SUM(9,12,6,9,10,9,7,5,9,11,11,6,7,7,11)/180</f>
        <v>0.71666666666666667</v>
      </c>
      <c r="M9" s="20">
        <f>SUM(8,6,7,6,9,9,11,9,7,9,11,11,5,10,10)/180</f>
        <v>0.71111111111111114</v>
      </c>
      <c r="O9" s="50"/>
      <c r="P9" s="33">
        <v>3</v>
      </c>
      <c r="Q9" s="36" t="s">
        <v>22</v>
      </c>
      <c r="R9" s="34" t="s">
        <v>21</v>
      </c>
      <c r="S9" s="34" t="s">
        <v>24</v>
      </c>
      <c r="T9" s="34" t="s">
        <v>23</v>
      </c>
      <c r="U9" s="27"/>
    </row>
    <row r="10" spans="1:28" x14ac:dyDescent="0.25">
      <c r="A10" s="17" t="s">
        <v>5</v>
      </c>
      <c r="B10" s="19">
        <f>SUM(1,5,4,2,4,9,5,5,10,8,4,4,1,5,7)/180</f>
        <v>0.41111111111111109</v>
      </c>
      <c r="C10" s="20">
        <f>SUM(6,7,0,4,4,7,8,2,5,7,6,3,4,3,1)/180</f>
        <v>0.37222222222222223</v>
      </c>
      <c r="D10" s="20">
        <f>SUM(2,5,5,2,4,8,4,6,8,3,5,3,3,10,6)/180</f>
        <v>0.41111111111111109</v>
      </c>
      <c r="E10" s="20">
        <f>SUM(3,5,1,8,5,5,4,2,7,6,3,3,0,5,8)/180</f>
        <v>0.3611111111111111</v>
      </c>
      <c r="F10" s="20">
        <f>SUM(5,3,0,3,2,7,2,3,5,5,4,3,2,3,3)/180</f>
        <v>0.27777777777777779</v>
      </c>
      <c r="G10" s="20">
        <f>SUM(6,6,1,3,2,8,9,2,3,7,4,4,1,6,6)/180</f>
        <v>0.37777777777777777</v>
      </c>
      <c r="H10" s="20">
        <f>SUM(3,3,2,3,2,5,3,2,2,8,2,2,0,3,6)/180</f>
        <v>0.25555555555555554</v>
      </c>
      <c r="I10" s="20">
        <f>SUM(10,8,5,9,10,8,7,9,9,6,10,7,7,8,11)/180</f>
        <v>0.68888888888888888</v>
      </c>
      <c r="J10" s="23">
        <v>0</v>
      </c>
      <c r="K10" s="20">
        <f>SUM(10,9,5,9,9,10,11,6,9,7,9,5,9,6,8)/180</f>
        <v>0.67777777777777781</v>
      </c>
      <c r="L10" s="15">
        <f>SUM(12,7,12,5,10,8,12,8,12,9,12,12,5,8,9)/180</f>
        <v>0.78333333333333333</v>
      </c>
      <c r="M10" s="20">
        <f>SUM(10,8,5,10,9,9,12,6,9,7,8,5,12,5,9)/180</f>
        <v>0.68888888888888888</v>
      </c>
      <c r="O10" s="50"/>
      <c r="P10" s="33">
        <v>4</v>
      </c>
      <c r="Q10" s="36" t="s">
        <v>56</v>
      </c>
      <c r="R10" s="34" t="s">
        <v>18</v>
      </c>
      <c r="S10" s="34" t="s">
        <v>20</v>
      </c>
      <c r="T10" s="34" t="s">
        <v>19</v>
      </c>
      <c r="U10" s="27"/>
    </row>
    <row r="11" spans="1:28" x14ac:dyDescent="0.25">
      <c r="A11" s="17" t="s">
        <v>6</v>
      </c>
      <c r="B11" s="19">
        <f>SUM(1,4,4,3,4,9,6,5,10,7,4,0,4,5,8)/180</f>
        <v>0.41111111111111109</v>
      </c>
      <c r="C11" s="20">
        <f>SUM(1,2,4,5,4,7,5,4,8,5,4,1,3,4,8)/180</f>
        <v>0.3611111111111111</v>
      </c>
      <c r="D11" s="15">
        <f>SUM(7,7,2,1,4,3,9,4,4,8,6,4,7,5,2)/180</f>
        <v>0.40555555555555556</v>
      </c>
      <c r="E11" s="20">
        <f>SUM(9,5,0,1,3,6,7,4,5,5,6,8,0,4,4)/180</f>
        <v>0.37222222222222223</v>
      </c>
      <c r="F11" s="20">
        <f>SUM(3,1,2,4,4,5,5,2,3,5,2,1,0,2,6)/180</f>
        <v>0.25</v>
      </c>
      <c r="G11" s="20">
        <f>SUM(5,4,0,4,4,7,3,2,10,6,2,0,1,4,7)/180</f>
        <v>0.32777777777777778</v>
      </c>
      <c r="H11" s="20">
        <f>SUM(7,2,1,1,2,6,3,1,3,5,2,4,1,2,2)/180</f>
        <v>0.23333333333333334</v>
      </c>
      <c r="I11" s="15">
        <f>SUM(8,6,4,6,10,8,11,7,7,8,11,12,5,10,10)/180</f>
        <v>0.68333333333333335</v>
      </c>
      <c r="J11" s="20">
        <f>SUM(10,9,5,9,9,10,11,6,9,7,9,5,9,6,8)/180</f>
        <v>0.67777777777777781</v>
      </c>
      <c r="K11" s="23">
        <v>0</v>
      </c>
      <c r="L11" s="20">
        <f>SUM(8,8,9,9,10,8,9,6,11,9,9,9,4,10,9)/180</f>
        <v>0.71111111111111114</v>
      </c>
      <c r="M11" s="15">
        <f>SUM(10,10,4,11,10,9,11,9,10,8,9,9,9,6,11)/180</f>
        <v>0.75555555555555554</v>
      </c>
      <c r="O11" s="50"/>
      <c r="P11" s="35">
        <v>5</v>
      </c>
      <c r="Q11" s="36" t="s">
        <v>15</v>
      </c>
      <c r="R11" s="34" t="s">
        <v>14</v>
      </c>
      <c r="S11" s="34" t="s">
        <v>17</v>
      </c>
      <c r="T11" s="34" t="s">
        <v>16</v>
      </c>
      <c r="U11" s="27"/>
    </row>
    <row r="12" spans="1:28" x14ac:dyDescent="0.25">
      <c r="A12" s="17" t="s">
        <v>39</v>
      </c>
      <c r="B12" s="19">
        <f>SUM(1,3,4,2,4,9,5,2,10,6,4,1,5,7,0)/180</f>
        <v>0.35</v>
      </c>
      <c r="C12" s="20">
        <f>SUM(6,4,0,1,4,5,8,1,5,8,6,3,4,2,1)/180</f>
        <v>0.32222222222222224</v>
      </c>
      <c r="D12" s="20">
        <f>SUM(3,5,4,2,4,9,4,4,8,2,4,1,3,8,6)/180</f>
        <v>0.37222222222222223</v>
      </c>
      <c r="E12" s="15">
        <f>SUM(3,5,2,8,5,6,4,2,7,5,2,1,0,6,8)/180</f>
        <v>0.35555555555555557</v>
      </c>
      <c r="F12" s="20">
        <f>SUM(5,2,0,1,2,5,2,0,5,6,4,3,2,1,2)/180</f>
        <v>0.22222222222222221</v>
      </c>
      <c r="G12" s="20">
        <f>SUM(6,5,1,0,2,6,9,0,3,8,4,4,3,4,5)/180</f>
        <v>0.33333333333333331</v>
      </c>
      <c r="H12" s="20">
        <f>SUM(2,2,4,3,2,5,3,0,2,6,2,1,0,2,6)/180</f>
        <v>0.22222222222222221</v>
      </c>
      <c r="I12" s="20">
        <f>SUM(9,12,6,9,10,9,7,5,9,11,11,6,7,7,11)/180</f>
        <v>0.71666666666666667</v>
      </c>
      <c r="J12" s="15">
        <f>SUM(12,7,12,5,10,8,12,8,12,9,12,12,5,8,9)/180</f>
        <v>0.78333333333333333</v>
      </c>
      <c r="K12" s="20">
        <f>SUM(8,8,9,9,10,8,9,6,11,9,9,9,4,10,9)/180</f>
        <v>0.71111111111111114</v>
      </c>
      <c r="L12" s="23">
        <v>0</v>
      </c>
      <c r="M12" s="20">
        <f>SUM(9,8,12,9,9,10,9,7,12,10,9,10,10,11,9)/180</f>
        <v>0.8</v>
      </c>
      <c r="U12" s="27"/>
      <c r="W12" s="26"/>
      <c r="X12" s="26"/>
      <c r="Y12" s="26"/>
      <c r="Z12" s="26"/>
      <c r="AA12" s="26"/>
      <c r="AB12" s="26"/>
    </row>
    <row r="13" spans="1:28" x14ac:dyDescent="0.25">
      <c r="A13" s="17" t="s">
        <v>7</v>
      </c>
      <c r="B13" s="19">
        <f>SUM(1,3,3,3,4,9,5,3,9,5,6,0,1,4,8)/180</f>
        <v>0.35555555555555557</v>
      </c>
      <c r="C13" s="20">
        <f>SUM(1,2,3,4,5,8,5,4,9,5,4,1,0,3,8)/180</f>
        <v>0.34444444444444444</v>
      </c>
      <c r="D13" s="20">
        <f>SUM(7,8,3,1,4,3,8,5,4,9,7,3,3,7,2)/180</f>
        <v>0.41111111111111109</v>
      </c>
      <c r="E13" s="20">
        <f>SUM(8,3,0,1,2,5,8,2,4,6,5,8,2,5,3)/180</f>
        <v>0.34444444444444444</v>
      </c>
      <c r="F13" s="15">
        <f>SUM(3,1,2,4,4,6,5,2,2,6,2,1,0,1,6)/180</f>
        <v>0.25</v>
      </c>
      <c r="G13" s="20">
        <f>SUM(6,4,2,4,4,8,3,0,9,6,3,0,1,4,7)/180</f>
        <v>0.33888888888888891</v>
      </c>
      <c r="H13" s="20">
        <f>SUM(7,3,0,1,2,6,2,0,3,5,2,4,4,4,3)/180</f>
        <v>0.25555555555555554</v>
      </c>
      <c r="I13" s="20">
        <f>SUM(8,6,7,6,9,9,11,9,7,9,11,11,5,10,10)/180</f>
        <v>0.71111111111111114</v>
      </c>
      <c r="J13" s="20">
        <f>SUM(10,8,5,10,9,9,12,6,9,7,8,5,12,5,9)/180</f>
        <v>0.68888888888888888</v>
      </c>
      <c r="K13" s="15">
        <f>SUM(10,10,4,11,10,9,11,9,10,8,9,9,9,6,11)/180</f>
        <v>0.75555555555555554</v>
      </c>
      <c r="L13" s="20">
        <f>SUM(9,8,12,9,9,10,9,7,12,10,9,10,10,11,9)/180</f>
        <v>0.8</v>
      </c>
      <c r="M13" s="23">
        <v>0</v>
      </c>
      <c r="U13" s="27"/>
      <c r="W13" s="26"/>
      <c r="X13" s="26"/>
      <c r="Y13" s="26"/>
      <c r="Z13" s="26"/>
      <c r="AA13" s="26"/>
      <c r="AB13" s="26"/>
    </row>
    <row r="14" spans="1:28" x14ac:dyDescent="0.25">
      <c r="W14" s="26"/>
      <c r="X14" s="26"/>
      <c r="Y14" s="26"/>
      <c r="Z14" s="26"/>
      <c r="AA14" s="26"/>
      <c r="AB14" s="26"/>
    </row>
    <row r="15" spans="1:28" x14ac:dyDescent="0.25">
      <c r="A15" s="28" t="s">
        <v>41</v>
      </c>
      <c r="B15" s="2" t="s">
        <v>0</v>
      </c>
      <c r="C15" s="2" t="s">
        <v>1</v>
      </c>
      <c r="D15" s="2" t="s">
        <v>2</v>
      </c>
      <c r="E15" s="2" t="s">
        <v>3</v>
      </c>
      <c r="F15" s="2" t="s">
        <v>4</v>
      </c>
      <c r="G15" s="2" t="s">
        <v>5</v>
      </c>
      <c r="H15" s="2" t="s">
        <v>6</v>
      </c>
      <c r="I15" s="3" t="s">
        <v>7</v>
      </c>
      <c r="W15" s="26"/>
      <c r="X15" s="26"/>
      <c r="Y15" s="26"/>
      <c r="Z15" s="26"/>
      <c r="AA15" s="26"/>
      <c r="AB15" s="26"/>
    </row>
    <row r="16" spans="1:28" x14ac:dyDescent="0.25">
      <c r="A16" s="4" t="s">
        <v>0</v>
      </c>
      <c r="B16" s="5">
        <v>0</v>
      </c>
      <c r="C16" s="6">
        <f>SUM(9,9,8,8,10,9,5,9,9,10,8,3,8,10,6)/180</f>
        <v>0.67222222222222228</v>
      </c>
      <c r="D16" s="7">
        <f>SUM(9,5,6,7,5,8,7,7,10,4,5,4,10,9,5)/180</f>
        <v>0.56111111111111112</v>
      </c>
      <c r="E16" s="7">
        <f>SUM(6,6,6,8,9,7,5,9,8,8,4,1,6,6,4)/180</f>
        <v>0.51666666666666672</v>
      </c>
      <c r="F16" s="7">
        <f>SUM(6,7,3,8,7,7,4,9,5,9,4,4,7,10,4)/180</f>
        <v>0.52222222222222225</v>
      </c>
      <c r="G16" s="7">
        <f>SUM(7,10,4,8,7,6,4,8,6,6,4,3,7,11,3)/180</f>
        <v>0.52222222222222225</v>
      </c>
      <c r="H16" s="7">
        <f>SUM(3,5,5,10,8,5,3,8,7,8,6,4,5,10,3)/180</f>
        <v>0.5</v>
      </c>
      <c r="I16" s="7">
        <f>SUM(5,4,3,6,5,5,5,7,6,8,5,2,6,10,4)/180</f>
        <v>0.45</v>
      </c>
      <c r="W16" s="26"/>
      <c r="X16" s="26"/>
      <c r="Y16" s="26"/>
      <c r="Z16" s="26"/>
      <c r="AA16" s="26"/>
      <c r="AB16" s="26"/>
    </row>
    <row r="17" spans="1:28" x14ac:dyDescent="0.25">
      <c r="A17" s="2" t="s">
        <v>1</v>
      </c>
      <c r="B17" s="6">
        <f>SUM(9,9,8,8,10,9,5,9,9,10,8,3,8,10,6)/180</f>
        <v>0.67222222222222228</v>
      </c>
      <c r="C17" s="8">
        <v>0</v>
      </c>
      <c r="D17" s="7">
        <f>SUM(8,5,8,6,6,7,6,7,8,4,7,10,10,8,6)/180</f>
        <v>0.58888888888888891</v>
      </c>
      <c r="E17" s="6">
        <f>SUM(5,7,6,9,9,5,5,9,7,9,6,8,7,6,4)/180</f>
        <v>0.56666666666666665</v>
      </c>
      <c r="F17" s="6">
        <f>SUM(8,9,4,10,7,7,3,10,6,9,6,6,9,11,4)/180</f>
        <v>0.60555555555555551</v>
      </c>
      <c r="G17" s="6">
        <f>SUM(8,3,4,11,7,6,4,10,6,7,6,4,7,11,3)/180</f>
        <v>0.53888888888888886</v>
      </c>
      <c r="H17" s="6">
        <f>SUM(4,7,5,8,7,6,4,8,7,8,8,2,6,10,3)/180</f>
        <v>0.51666666666666672</v>
      </c>
      <c r="I17" s="6">
        <f>SUM(6,8,4,9,6,5,3,8,5,8,8,4,7,11,4)/180</f>
        <v>0.53333333333333333</v>
      </c>
      <c r="W17" s="26"/>
      <c r="X17" s="26"/>
      <c r="Y17" s="26"/>
      <c r="Z17" s="26"/>
      <c r="AA17" s="26"/>
      <c r="AB17" s="26"/>
    </row>
    <row r="18" spans="1:28" x14ac:dyDescent="0.25">
      <c r="A18" s="4" t="s">
        <v>2</v>
      </c>
      <c r="B18" s="7">
        <f>SUM(9,5,6,7,5,8,7,7,10,4,5,4,10,9,5)/180</f>
        <v>0.56111111111111112</v>
      </c>
      <c r="C18" s="7">
        <f>SUM(8,5,8,6,6,7,6,7,8,4,7,10,10,8,6)/180</f>
        <v>0.58888888888888891</v>
      </c>
      <c r="D18" s="9">
        <v>0</v>
      </c>
      <c r="E18" s="7">
        <f>SUM(4,7,6,7,7,6,5,7,9,6,6,7,6,5,5)/180</f>
        <v>0.51666666666666672</v>
      </c>
      <c r="F18" s="7">
        <f>SUM(6,4,3,8,5,4,3,7,5,4,6,4,8,8,3)/180</f>
        <v>0.43333333333333335</v>
      </c>
      <c r="G18" s="7">
        <f>SUM(6,5,3,7,8,5,3,7,7,1,7,3,6,8,3)/180</f>
        <v>0.43888888888888888</v>
      </c>
      <c r="H18" s="7">
        <f>SUM(4,6,5,7,7,5,2,6,7,4,5,2,5,7,4)/180</f>
        <v>0.42222222222222222</v>
      </c>
      <c r="I18" s="7">
        <f>SUM(5,5,3,6,7,5,3,9,7,3,7,3,7,8,3)/180</f>
        <v>0.45</v>
      </c>
      <c r="AB18" s="26"/>
    </row>
    <row r="19" spans="1:28" x14ac:dyDescent="0.25">
      <c r="A19" s="2" t="s">
        <v>3</v>
      </c>
      <c r="B19" s="7">
        <f>SUM(6,6,6,8,9,7,5,9,8,8,4,1,6,6,4)/180</f>
        <v>0.51666666666666672</v>
      </c>
      <c r="C19" s="7">
        <f>SUM(5,7,6,9,9,5,5,9,7,9,6,8,7,6,4)/180</f>
        <v>0.56666666666666665</v>
      </c>
      <c r="D19" s="7">
        <f>SUM(4,7,6,7,7,6,5,7,9,6,6,7,6,5,5)/180</f>
        <v>0.51666666666666672</v>
      </c>
      <c r="E19" s="10">
        <v>0</v>
      </c>
      <c r="F19" s="7">
        <f>SUM(6,7,5,11,8,4,6,11,6,8,3,5,8,7,4)/180</f>
        <v>0.55000000000000004</v>
      </c>
      <c r="G19" s="7">
        <f>SUM(6,5,6,11,8,7,6,9,6,6,7,5,6,6,5)/180</f>
        <v>0.55000000000000004</v>
      </c>
      <c r="H19" s="7">
        <f>SUM(5,7,8,10,8,3,7,10,6,7,5,5,7,6,7)/180</f>
        <v>0.56111111111111112</v>
      </c>
      <c r="I19" s="7">
        <f>SUM(5,6,5,9,7,5,6,8,6,7,5,7,5,6,5)/180</f>
        <v>0.51111111111111107</v>
      </c>
    </row>
    <row r="20" spans="1:28" x14ac:dyDescent="0.25">
      <c r="A20" s="4" t="s">
        <v>4</v>
      </c>
      <c r="B20" s="7">
        <f>SUM(6,7,3,8,7,7,4,9,5,9,4,4,7,10,4)/180</f>
        <v>0.52222222222222225</v>
      </c>
      <c r="C20" s="7">
        <f>SUM(8,9,4,10,7,7,3,10,6,9,6,6,9,11,4)/180</f>
        <v>0.60555555555555551</v>
      </c>
      <c r="D20" s="7">
        <f>SUM(6,4,3,8,5,4,3,7,5,4,6,4,8,8,3)/180</f>
        <v>0.43333333333333335</v>
      </c>
      <c r="E20" s="7">
        <f>SUM(6,7,5,11,8,4,6,11,6,8,3,5,8,7,4)/180</f>
        <v>0.55000000000000004</v>
      </c>
      <c r="F20" s="9">
        <v>0</v>
      </c>
      <c r="G20" s="6">
        <f>SUM(9,7,8,11,6,7,8,10,5,9,7,8,5,11,9)/180</f>
        <v>0.66666666666666663</v>
      </c>
      <c r="H20" s="6">
        <f>SUM(8,8,7,10,8,7,9,9,6,10,6,8,9,10,6)/180</f>
        <v>0.67222222222222228</v>
      </c>
      <c r="I20" s="6">
        <f>SUM(10,7,5,11,6,8,9,8,6,10,6,7,7,11,10)/180</f>
        <v>0.67222222222222228</v>
      </c>
    </row>
    <row r="21" spans="1:28" x14ac:dyDescent="0.25">
      <c r="A21" s="2" t="s">
        <v>5</v>
      </c>
      <c r="B21" s="7">
        <f>SUM(7,10,4,8,7,6,4,8,6,6,4,3,7,11,3)/180</f>
        <v>0.52222222222222225</v>
      </c>
      <c r="C21" s="7">
        <f>SUM(8,3,4,11,7,6,4,10,6,7,6,4,7,11,3)/180</f>
        <v>0.53888888888888886</v>
      </c>
      <c r="D21" s="7">
        <f>SUM(6,5,3,7,8,5,3,7,7,1,7,3,6,8,3)/180</f>
        <v>0.43888888888888888</v>
      </c>
      <c r="E21" s="7">
        <f>SUM(6,5,6,11,8,7,6,9,6,6,7,5,6,6,5)/180</f>
        <v>0.55000000000000004</v>
      </c>
      <c r="F21" s="11">
        <f>SUM(9,7,8,11,6,7,8,10,5,9,7,8,5,11,9)/180</f>
        <v>0.66666666666666663</v>
      </c>
      <c r="G21" s="8">
        <v>0</v>
      </c>
      <c r="H21" s="7">
        <f>SUM(7,8,9,9,9,5,8,9,6,9,6,7,5,11,6)/180</f>
        <v>0.6333333333333333</v>
      </c>
      <c r="I21" s="7">
        <f>SUM(7,10,7,10,7,10,9,8,9,9,5,7,4,11,9)/180</f>
        <v>0.67777777777777781</v>
      </c>
    </row>
    <row r="22" spans="1:28" x14ac:dyDescent="0.25">
      <c r="A22" s="12" t="s">
        <v>6</v>
      </c>
      <c r="B22" s="7">
        <f>SUM(3,5,5,10,8,5,3,8,7,8,6,4,5,10,3)/180</f>
        <v>0.5</v>
      </c>
      <c r="C22" s="7">
        <f>SUM(4,7,5,8,7,6,4,8,7,8,8,2,6,10,3)/180</f>
        <v>0.51666666666666672</v>
      </c>
      <c r="D22" s="7">
        <f>SUM(4,6,5,7,7,5,2,6,7,4,5,2,5,7,4)/180</f>
        <v>0.42222222222222222</v>
      </c>
      <c r="E22" s="7">
        <f>SUM(5,7,8,10,8,3,7,10,6,7,5,5,7,6,7)/180</f>
        <v>0.56111111111111112</v>
      </c>
      <c r="F22" s="7">
        <f>SUM(8,8,7,10,8,7,9,9,6,10,6,8,9,10,6)/180</f>
        <v>0.67222222222222228</v>
      </c>
      <c r="G22" s="7">
        <f>SUM(7,8,9,9,9,5,8,9,6,9,6,7,5,11,6)/180</f>
        <v>0.6333333333333333</v>
      </c>
      <c r="H22" s="10">
        <v>0</v>
      </c>
      <c r="I22" s="6">
        <f>SUM(6,6,8,8,7,6,8,8,6,7,8,6,7,10,6)/180</f>
        <v>0.59444444444444444</v>
      </c>
    </row>
    <row r="23" spans="1:28" x14ac:dyDescent="0.25">
      <c r="A23" s="3" t="s">
        <v>7</v>
      </c>
      <c r="B23" s="7">
        <f>SUM(5,4,3,6,5,5,5,7,6,8,5,2,6,10,4)/180</f>
        <v>0.45</v>
      </c>
      <c r="C23" s="7">
        <f>SUM(6,8,4,9,6,5,3,8,5,8,8,4,7,11,4)/180</f>
        <v>0.53333333333333333</v>
      </c>
      <c r="D23" s="7">
        <f>SUM(5,5,3,6,7,5,3,9,7,3,7,3,7,8,3)/180</f>
        <v>0.45</v>
      </c>
      <c r="E23" s="7">
        <f>SUM(5,6,5,9,7,5,6,8,6,7,5,7,5,6,5)/180</f>
        <v>0.51111111111111107</v>
      </c>
      <c r="F23" s="7">
        <f>SUM(10,7,5,11,6,8,9,8,6,10,6,7,7,11,10)/180</f>
        <v>0.67222222222222228</v>
      </c>
      <c r="G23" s="7">
        <f>SUM(7,10,7,10,7,10,9,8,9,9,5,7,4,11,9)/180</f>
        <v>0.67777777777777781</v>
      </c>
      <c r="H23" s="7">
        <f>SUM(6,6,8,8,7,6,8,8,6,7,8,6,7,10,6)/180</f>
        <v>0.59444444444444444</v>
      </c>
      <c r="I23" s="13">
        <v>0</v>
      </c>
    </row>
    <row r="25" spans="1:28" x14ac:dyDescent="0.25">
      <c r="A25" s="2" t="s">
        <v>8</v>
      </c>
      <c r="B25" s="2" t="s">
        <v>43</v>
      </c>
      <c r="C25" s="2" t="s">
        <v>10</v>
      </c>
      <c r="D25" s="2" t="s">
        <v>11</v>
      </c>
      <c r="E25" s="30" t="s">
        <v>44</v>
      </c>
      <c r="F25" s="30" t="s">
        <v>45</v>
      </c>
    </row>
    <row r="26" spans="1:28" x14ac:dyDescent="0.25">
      <c r="A26" s="1" t="s">
        <v>0</v>
      </c>
      <c r="B26" s="25">
        <v>1</v>
      </c>
      <c r="C26" s="29">
        <v>9</v>
      </c>
      <c r="D26" s="25" t="s">
        <v>12</v>
      </c>
      <c r="E26" s="25" t="s">
        <v>46</v>
      </c>
      <c r="F26" s="25" t="s">
        <v>51</v>
      </c>
    </row>
    <row r="27" spans="1:28" x14ac:dyDescent="0.25">
      <c r="A27" s="1" t="s">
        <v>1</v>
      </c>
      <c r="B27" s="25">
        <v>2</v>
      </c>
      <c r="C27" s="29">
        <v>7</v>
      </c>
      <c r="D27" s="25" t="s">
        <v>13</v>
      </c>
      <c r="E27" s="25" t="s">
        <v>47</v>
      </c>
      <c r="F27" s="25" t="s">
        <v>51</v>
      </c>
    </row>
    <row r="28" spans="1:28" x14ac:dyDescent="0.25">
      <c r="A28" s="1" t="s">
        <v>2</v>
      </c>
      <c r="B28" s="25">
        <v>3</v>
      </c>
      <c r="C28" s="29">
        <v>4</v>
      </c>
      <c r="D28" s="25" t="s">
        <v>13</v>
      </c>
      <c r="E28" s="25" t="s">
        <v>48</v>
      </c>
      <c r="F28" s="25" t="s">
        <v>51</v>
      </c>
    </row>
    <row r="29" spans="1:28" x14ac:dyDescent="0.25">
      <c r="A29" s="1" t="s">
        <v>3</v>
      </c>
      <c r="B29" s="25">
        <v>4</v>
      </c>
      <c r="C29" s="1">
        <v>1</v>
      </c>
      <c r="D29" s="25" t="s">
        <v>13</v>
      </c>
      <c r="E29" s="25" t="s">
        <v>49</v>
      </c>
      <c r="F29" s="25" t="s">
        <v>51</v>
      </c>
    </row>
    <row r="30" spans="1:28" x14ac:dyDescent="0.25">
      <c r="A30" s="1" t="s">
        <v>36</v>
      </c>
      <c r="B30" s="25">
        <v>5</v>
      </c>
      <c r="C30" s="1">
        <v>1</v>
      </c>
      <c r="D30" s="25" t="s">
        <v>12</v>
      </c>
      <c r="E30" s="25" t="s">
        <v>49</v>
      </c>
      <c r="F30" s="25">
        <v>1</v>
      </c>
    </row>
    <row r="31" spans="1:28" x14ac:dyDescent="0.25">
      <c r="A31" s="1" t="s">
        <v>37</v>
      </c>
      <c r="B31" s="25">
        <v>6</v>
      </c>
      <c r="C31" s="1">
        <v>1</v>
      </c>
      <c r="D31" s="25" t="s">
        <v>12</v>
      </c>
      <c r="E31" s="25" t="s">
        <v>49</v>
      </c>
      <c r="F31" s="25">
        <v>1</v>
      </c>
    </row>
    <row r="32" spans="1:28" x14ac:dyDescent="0.25">
      <c r="A32" s="1" t="s">
        <v>38</v>
      </c>
      <c r="B32" s="25">
        <v>7</v>
      </c>
      <c r="C32" s="1">
        <v>1</v>
      </c>
      <c r="D32" s="25" t="s">
        <v>12</v>
      </c>
      <c r="E32" s="25" t="s">
        <v>49</v>
      </c>
      <c r="F32" s="25">
        <v>1</v>
      </c>
    </row>
    <row r="33" spans="1:6" x14ac:dyDescent="0.25">
      <c r="A33" s="1" t="s">
        <v>4</v>
      </c>
      <c r="B33" s="25">
        <v>8</v>
      </c>
      <c r="C33" s="25" t="s">
        <v>42</v>
      </c>
      <c r="D33" s="25" t="s">
        <v>13</v>
      </c>
      <c r="E33" s="25" t="s">
        <v>50</v>
      </c>
      <c r="F33" s="25" t="s">
        <v>51</v>
      </c>
    </row>
    <row r="34" spans="1:6" x14ac:dyDescent="0.25">
      <c r="A34" s="1" t="s">
        <v>5</v>
      </c>
      <c r="B34" s="25">
        <v>9</v>
      </c>
      <c r="C34" s="25" t="s">
        <v>42</v>
      </c>
      <c r="D34" s="25" t="s">
        <v>13</v>
      </c>
      <c r="E34" s="25" t="s">
        <v>50</v>
      </c>
      <c r="F34" s="25" t="s">
        <v>51</v>
      </c>
    </row>
    <row r="35" spans="1:6" x14ac:dyDescent="0.25">
      <c r="A35" s="1" t="s">
        <v>6</v>
      </c>
      <c r="B35" s="25">
        <v>10</v>
      </c>
      <c r="C35" s="25" t="s">
        <v>42</v>
      </c>
      <c r="D35" s="25" t="s">
        <v>12</v>
      </c>
      <c r="E35" s="25" t="s">
        <v>50</v>
      </c>
      <c r="F35" s="25" t="s">
        <v>51</v>
      </c>
    </row>
    <row r="36" spans="1:6" x14ac:dyDescent="0.25">
      <c r="A36" s="1" t="s">
        <v>39</v>
      </c>
      <c r="B36" s="25">
        <v>11</v>
      </c>
      <c r="C36" s="25" t="s">
        <v>42</v>
      </c>
      <c r="D36" s="25" t="s">
        <v>13</v>
      </c>
      <c r="E36" s="25" t="s">
        <v>50</v>
      </c>
      <c r="F36" s="25">
        <v>1</v>
      </c>
    </row>
    <row r="37" spans="1:6" x14ac:dyDescent="0.25">
      <c r="A37" s="1" t="s">
        <v>7</v>
      </c>
      <c r="B37" s="25">
        <v>12</v>
      </c>
      <c r="C37" s="25" t="s">
        <v>42</v>
      </c>
      <c r="D37" s="25" t="s">
        <v>12</v>
      </c>
      <c r="E37" s="25" t="s">
        <v>50</v>
      </c>
      <c r="F37" s="25" t="s">
        <v>51</v>
      </c>
    </row>
  </sheetData>
  <mergeCells count="2">
    <mergeCell ref="O7:O11"/>
    <mergeCell ref="O2:O6"/>
  </mergeCells>
  <phoneticPr fontId="4" type="noConversion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9D3D3CC-02D8-4B18-AEC5-888CAA45090F}">
  <dimension ref="A1:T27"/>
  <sheetViews>
    <sheetView topLeftCell="L1" workbookViewId="0">
      <selection activeCell="Q19" sqref="Q19"/>
    </sheetView>
  </sheetViews>
  <sheetFormatPr defaultRowHeight="15" x14ac:dyDescent="0.25"/>
  <cols>
    <col min="1" max="1" width="10.28515625" customWidth="1"/>
    <col min="17" max="17" width="25.85546875" customWidth="1"/>
    <col min="18" max="18" width="67.42578125" customWidth="1"/>
    <col min="19" max="19" width="13" customWidth="1"/>
    <col min="20" max="20" width="35.42578125" customWidth="1"/>
  </cols>
  <sheetData>
    <row r="1" spans="1:20" x14ac:dyDescent="0.25">
      <c r="A1" s="24" t="s">
        <v>40</v>
      </c>
      <c r="B1" s="16" t="s">
        <v>77</v>
      </c>
      <c r="C1" s="17" t="s">
        <v>78</v>
      </c>
      <c r="D1" s="16" t="s">
        <v>79</v>
      </c>
      <c r="E1" s="17" t="s">
        <v>80</v>
      </c>
      <c r="F1" s="17" t="s">
        <v>81</v>
      </c>
      <c r="G1" s="17" t="s">
        <v>82</v>
      </c>
      <c r="H1" s="16" t="s">
        <v>83</v>
      </c>
      <c r="I1" s="16" t="s">
        <v>84</v>
      </c>
      <c r="J1" s="17" t="s">
        <v>85</v>
      </c>
      <c r="K1" s="16" t="s">
        <v>86</v>
      </c>
      <c r="L1" s="17" t="s">
        <v>87</v>
      </c>
      <c r="M1" s="17" t="s">
        <v>88</v>
      </c>
      <c r="O1" s="32"/>
      <c r="P1" s="17" t="s">
        <v>35</v>
      </c>
      <c r="Q1" s="17" t="s">
        <v>32</v>
      </c>
      <c r="R1" s="17" t="s">
        <v>31</v>
      </c>
      <c r="S1" s="17" t="s">
        <v>34</v>
      </c>
      <c r="T1" s="2" t="s">
        <v>33</v>
      </c>
    </row>
    <row r="2" spans="1:20" x14ac:dyDescent="0.25">
      <c r="A2" s="17" t="s">
        <v>77</v>
      </c>
      <c r="B2" s="18">
        <v>0</v>
      </c>
      <c r="C2" s="19">
        <f>SUM(7,9,8,4,5,6,7,1,6,7,7,1,5,4,6)/180</f>
        <v>0.46111111111111114</v>
      </c>
      <c r="D2" s="19">
        <f>SUM(8,10,11,6,1,4,5,0,4,7,4,2,9,3,5)/180</f>
        <v>0.43888888888888888</v>
      </c>
      <c r="E2" s="19">
        <f>SUM(7,10,10,4,1,5,6,0,6,4,5,2,7,3,4)/180</f>
        <v>0.41111111111111109</v>
      </c>
      <c r="F2" s="19">
        <f>SUM(6,8,9,4,4,7,6,2,6,3,5,3,7,4,5)/180</f>
        <v>0.43888888888888888</v>
      </c>
      <c r="G2" s="19">
        <f>SUM(5,8,9,4,3,6,4,1,6,4,4,2,7,6,5)/180</f>
        <v>0.41111111111111109</v>
      </c>
      <c r="H2" s="20">
        <f>SUM(6,6,5,5,1,4,7,0,6,5,5,1,9,2,3)/180</f>
        <v>0.3611111111111111</v>
      </c>
      <c r="I2" s="15">
        <f>SUM(7,9,9,6,2,6,6,1,8,5,9,1,9,4,4)/180</f>
        <v>0.4777777777777778</v>
      </c>
      <c r="J2" s="19">
        <f>SUM(6,6,9,3,2,5,8,1,4,5,2,1,8,8,2)/180</f>
        <v>0.3888888888888889</v>
      </c>
      <c r="K2" s="19">
        <f>SUM(7,7,9,6,3,3,6,1,5,2,7,1,5,3,3)/180</f>
        <v>0.37777777777777777</v>
      </c>
      <c r="L2" s="19">
        <f>SUM(5,6,5,5,5,5,3,1,5,6,8,4,8,1,5)/180</f>
        <v>0.4</v>
      </c>
      <c r="M2" s="19">
        <f>SUM(5,5,10,5,6,5,3,1,7,5,9,2,4,1,5)/180</f>
        <v>0.40555555555555556</v>
      </c>
      <c r="O2" s="50" t="s">
        <v>52</v>
      </c>
      <c r="P2" s="33">
        <v>1</v>
      </c>
      <c r="Q2" s="38" t="s">
        <v>104</v>
      </c>
      <c r="R2" s="38" t="s">
        <v>105</v>
      </c>
      <c r="S2" s="38" t="s">
        <v>94</v>
      </c>
      <c r="T2" s="38" t="s">
        <v>95</v>
      </c>
    </row>
    <row r="3" spans="1:20" x14ac:dyDescent="0.25">
      <c r="A3" s="17" t="s">
        <v>78</v>
      </c>
      <c r="B3" s="19">
        <f>SUM(7,9,8,4,5,6,7,1,6,7,7,1,5,4,6)/180</f>
        <v>0.46111111111111114</v>
      </c>
      <c r="C3" s="18">
        <v>0</v>
      </c>
      <c r="D3" s="20">
        <f>SUM(8,8,9,6,3,8,5,2,4,7,3,8,6,3,8)/180</f>
        <v>0.48888888888888887</v>
      </c>
      <c r="E3" s="20">
        <f>SUM(7,10,8,7,4,6,7,3,6,5,3,7,8,5,8)/180</f>
        <v>0.52222222222222225</v>
      </c>
      <c r="F3" s="20">
        <f>SUM(9,9,7,5,7,6,6,3,7,6,5,7,8,6,9)/180</f>
        <v>0.55555555555555558</v>
      </c>
      <c r="G3" s="20">
        <f>SUM(6,10,8,7,7,6,6,4,6,8,7,9,7,4,8)/180</f>
        <v>0.57222222222222219</v>
      </c>
      <c r="H3" s="20">
        <f>SUM(8,5,3,5,2,6,6,4,5,5,5,8,4,5,6)/180</f>
        <v>0.42777777777777776</v>
      </c>
      <c r="I3" s="21">
        <f>SUM(9,9,7,7,5,4,5,2,5,4,6,9,5,7,7)/180</f>
        <v>0.50555555555555554</v>
      </c>
      <c r="J3" s="20">
        <f>SUM(6,8,8,3,4,4,8,1,5,4,6,9,5,8,4)/180</f>
        <v>0.46111111111111114</v>
      </c>
      <c r="K3" s="20">
        <f>SUM(8,9,8,8,3,5,6,2,4,2,5,8,5,6,5)/180</f>
        <v>0.46666666666666667</v>
      </c>
      <c r="L3" s="20">
        <f>SUM(5,5,5,2,3,4,4,2,6,4,6,5,5,3,2)/180</f>
        <v>0.33888888888888891</v>
      </c>
      <c r="M3" s="20">
        <f>SUM(5,4,7,2,3,3,4,2,5,5,5,7,5,1,3)/190</f>
        <v>0.32105263157894737</v>
      </c>
      <c r="O3" s="50"/>
      <c r="P3" s="33">
        <v>2</v>
      </c>
      <c r="Q3" s="38" t="s">
        <v>106</v>
      </c>
      <c r="R3" s="38" t="s">
        <v>107</v>
      </c>
      <c r="S3" s="38" t="s">
        <v>96</v>
      </c>
      <c r="T3" s="38" t="s">
        <v>97</v>
      </c>
    </row>
    <row r="4" spans="1:20" x14ac:dyDescent="0.25">
      <c r="A4" s="17" t="s">
        <v>79</v>
      </c>
      <c r="B4" s="19">
        <f>SUM(8,10,11,6,1,4,5,0,4,7,4,2,9,3,5)/180</f>
        <v>0.43888888888888888</v>
      </c>
      <c r="C4" s="20">
        <f>SUM(8,8,9,6,3,8,5,2,4,7,3,8,6,3,8)/180</f>
        <v>0.48888888888888887</v>
      </c>
      <c r="D4" s="18">
        <v>0</v>
      </c>
      <c r="E4" s="20">
        <f>SUM(6,10,10,6,9,7,5,2,5,6,7,7,9,3,8)/180</f>
        <v>0.55555555555555558</v>
      </c>
      <c r="F4" s="20">
        <f>SUM(6,9,9,5,6,5,6,0,6,5,0,6,8,5,8)/180</f>
        <v>0.46666666666666667</v>
      </c>
      <c r="G4" s="20">
        <f>SUM(5,8,9,4,7,5,4,0,5,5,2,7,9,2,8)/180</f>
        <v>0.44444444444444442</v>
      </c>
      <c r="H4" s="20">
        <f>SUM(8,6,5,9,9,9,5,1,4,5,3,7,8,3,6)/180</f>
        <v>0.48888888888888887</v>
      </c>
      <c r="I4" s="21">
        <f>SUM(9,10,10,9,7,6,6,1,6,6,5,8,8,2,7)/180</f>
        <v>0.55555555555555558</v>
      </c>
      <c r="J4" s="20">
        <f>SUM(9,6,8,5,8,8,8,3,7,6,1,8,7,4,4)/180</f>
        <v>0.51111111111111107</v>
      </c>
      <c r="K4" s="15">
        <f>SUM(9,8,10,9,5,6,6,2,3,5,6,7,4,3,5)/180</f>
        <v>0.48888888888888887</v>
      </c>
      <c r="L4" s="20">
        <f>SUM(6,6,5,4,1,6,3,4,4,3,5,5,7,2,4)/180</f>
        <v>0.3611111111111111</v>
      </c>
      <c r="M4" s="20">
        <f>SUM(6,5,10,4,2,4,5,2,4,4,5,7,3,2,4)/180</f>
        <v>0.37222222222222223</v>
      </c>
      <c r="O4" s="50"/>
      <c r="P4" s="33">
        <v>3</v>
      </c>
      <c r="Q4" s="38" t="s">
        <v>108</v>
      </c>
      <c r="R4" s="38" t="s">
        <v>109</v>
      </c>
      <c r="S4" s="38" t="s">
        <v>98</v>
      </c>
      <c r="T4" s="38" t="s">
        <v>99</v>
      </c>
    </row>
    <row r="5" spans="1:20" x14ac:dyDescent="0.25">
      <c r="A5" s="17" t="s">
        <v>80</v>
      </c>
      <c r="B5" s="19">
        <f>SUM(7,10,10,4,1,5,6,0,6,4,5,2,7,3,4)/180</f>
        <v>0.41111111111111109</v>
      </c>
      <c r="C5" s="20">
        <f>SUM(7,10,8,7,4,6,7,3,6,5,3,7,8,5,8)/180</f>
        <v>0.52222222222222225</v>
      </c>
      <c r="D5" s="20">
        <f>SUM(6,10,10,6,9,7,5,2,5,6,7,7,9,3,8)/180</f>
        <v>0.55555555555555558</v>
      </c>
      <c r="E5" s="18">
        <v>0</v>
      </c>
      <c r="F5" s="20">
        <f>SUM(7,8,10,6,7,8,7,1,6,9,0,8,7,5,9)/180</f>
        <v>0.5444444444444444</v>
      </c>
      <c r="G5" s="20">
        <f>SUM(6,9,10,5,8,10,6,2,6,7,1,7,8,3,7)/180</f>
        <v>0.52777777777777779</v>
      </c>
      <c r="H5" s="20">
        <f>SUM(6,6,6,5,8,9,5,2,4,10,1,7,5,4,8)/180</f>
        <v>0.4777777777777778</v>
      </c>
      <c r="I5" s="21">
        <f>SUM(7,11,8,7,7,9,6,2,6,8,5,9,7,5,9)/180</f>
        <v>0.58888888888888891</v>
      </c>
      <c r="J5" s="20">
        <f>SUM(7,8,7,4,6,9,7,2,4,6,1,8,6,5,6)/180</f>
        <v>0.4777777777777778</v>
      </c>
      <c r="K5" s="20">
        <f>SUM(8,9,8,7,4,7,7,2,3,7,5,8,7,4,7)/180</f>
        <v>0.51666666666666672</v>
      </c>
      <c r="L5" s="15">
        <f>SUM(4,6,6,3,1,7,5,1,5,3,6,6,7,2,3)/180</f>
        <v>0.3611111111111111</v>
      </c>
      <c r="M5" s="20">
        <f>SUM(5,5,9,2,1,6,4,1,6,4,8,7,6,1,3)/180</f>
        <v>0.37777777777777777</v>
      </c>
      <c r="O5" s="50"/>
      <c r="P5" s="33">
        <v>4</v>
      </c>
      <c r="Q5" s="38" t="s">
        <v>110</v>
      </c>
      <c r="R5" s="38" t="s">
        <v>111</v>
      </c>
      <c r="S5" s="38" t="s">
        <v>100</v>
      </c>
      <c r="T5" s="38" t="s">
        <v>101</v>
      </c>
    </row>
    <row r="6" spans="1:20" x14ac:dyDescent="0.25">
      <c r="A6" s="17" t="s">
        <v>81</v>
      </c>
      <c r="B6" s="19">
        <f>SUM(6,8,9,4,4,7,6,2,6,3,5,3,7,4,5)/180</f>
        <v>0.43888888888888888</v>
      </c>
      <c r="C6" s="20">
        <f>SUM(9,9,7,5,7,6,6,3,7,6,5,7,8,6,9)/180</f>
        <v>0.55555555555555558</v>
      </c>
      <c r="D6" s="20">
        <f>SUM(6,9,9,5,6,5,6,0,6,5,0,6,8,5,8)/180</f>
        <v>0.46666666666666667</v>
      </c>
      <c r="E6" s="20">
        <f>SUM(7,8,10,6,7,8,7,1,6,9,0,8,7,5,9)/180</f>
        <v>0.5444444444444444</v>
      </c>
      <c r="F6" s="18">
        <v>0</v>
      </c>
      <c r="G6" s="20">
        <f>SUM(5,10,10,6,10,10,8,3,8,9,4,9,7,3,10)/180</f>
        <v>0.62222222222222223</v>
      </c>
      <c r="H6" s="20">
        <f>SUM(8,5,6,4,5,6,5,3,6,9,4,6,7,4,7)/180</f>
        <v>0.47222222222222221</v>
      </c>
      <c r="I6" s="21">
        <f>SUM(9,8,8,5,4,7,6,2,4,6,3,8,9,5,8)/180</f>
        <v>0.51111111111111107</v>
      </c>
      <c r="J6" s="20">
        <f>SUM(6,6,6,5,3,6,8,1,6,4,3,7,8,6,5)/180</f>
        <v>0.44444444444444442</v>
      </c>
      <c r="K6" s="20">
        <f>SUM(7,8,7,5,5,5,8,1,4,5,2,7,6,6,6)/180</f>
        <v>0.45555555555555555</v>
      </c>
      <c r="L6" s="20">
        <f>SUM(3,6,4,2,4,7,2,2,5,2,3,5,8,4,4)/180</f>
        <v>0.33888888888888891</v>
      </c>
      <c r="M6" s="15">
        <f>SUM(6,3,8,2,4,7,4,2,4,3,2,6,6,1,4)/180</f>
        <v>0.34444444444444444</v>
      </c>
      <c r="O6" s="50"/>
      <c r="P6" s="33">
        <v>5</v>
      </c>
      <c r="Q6" s="38" t="s">
        <v>112</v>
      </c>
      <c r="R6" s="38" t="s">
        <v>113</v>
      </c>
      <c r="S6" s="38" t="s">
        <v>102</v>
      </c>
      <c r="T6" s="38" t="s">
        <v>103</v>
      </c>
    </row>
    <row r="7" spans="1:20" x14ac:dyDescent="0.25">
      <c r="A7" s="17" t="s">
        <v>82</v>
      </c>
      <c r="B7" s="19">
        <f>SUM(5,8,9,4,3,6,4,1,6,4,4,2,7,6,5)/180</f>
        <v>0.41111111111111109</v>
      </c>
      <c r="C7" s="20">
        <f>SUM(6,10,8,7,7,6,6,4,6,8,7,9,7,4,8)/180</f>
        <v>0.57222222222222219</v>
      </c>
      <c r="D7" s="20">
        <f>SUM(5,8,9,4,7,5,4,0,5,5,2,7,9,2,8)/180</f>
        <v>0.44444444444444442</v>
      </c>
      <c r="E7" s="20">
        <f>SUM(6,9,10,5,8,10,6,2,6,7,1,7,8,3,7)/180</f>
        <v>0.52777777777777779</v>
      </c>
      <c r="F7" s="20">
        <f>SUM(5,10,10,6,10,10,8,3,8,9,4,9,7,3,10)/180</f>
        <v>0.62222222222222223</v>
      </c>
      <c r="G7" s="18">
        <v>0</v>
      </c>
      <c r="H7" s="20">
        <f>SUM(3,4,5,4,6,7,5,3,6,7,3,9,6,2,5)/180</f>
        <v>0.41666666666666669</v>
      </c>
      <c r="I7" s="21">
        <f>SUM(5,8,7,5,5,7,4,1,4,6,3,9,6,5,7)/180</f>
        <v>0.45555555555555555</v>
      </c>
      <c r="J7" s="20">
        <f>SUM(5,8,7,4,4,7,5,1,6,2,5,9,5,5,4)/180</f>
        <v>0.42777777777777776</v>
      </c>
      <c r="K7" s="20">
        <f>SUM(6,9,7,5,7,5,5,1,4,3,2,8,5,3,4)/180</f>
        <v>0.41111111111111109</v>
      </c>
      <c r="L7" s="20">
        <f>SUM(3,6,5,2,3,7,4,0,4,2,3,4,6,1,3)/180</f>
        <v>0.29444444444444445</v>
      </c>
      <c r="M7" s="20">
        <f>SUM(4,3,8,1,3,6,3,0,4,3,2,6,4,1,3)/180</f>
        <v>0.28333333333333333</v>
      </c>
      <c r="O7" s="50" t="s">
        <v>53</v>
      </c>
      <c r="P7" s="33">
        <v>1</v>
      </c>
      <c r="Q7" s="38" t="s">
        <v>123</v>
      </c>
      <c r="R7" s="38" t="s">
        <v>124</v>
      </c>
      <c r="S7" s="38" t="s">
        <v>129</v>
      </c>
      <c r="T7" s="38" t="s">
        <v>114</v>
      </c>
    </row>
    <row r="8" spans="1:20" x14ac:dyDescent="0.25">
      <c r="A8" s="17" t="s">
        <v>83</v>
      </c>
      <c r="B8" s="20">
        <f>SUM(6,6,5,5,1,4,7,0,6,5,5,1,9,2,3)/180</f>
        <v>0.3611111111111111</v>
      </c>
      <c r="C8" s="20">
        <f>SUM(8,5,3,5,2,6,6,4,5,5,5,8,4,5,6)/180</f>
        <v>0.42777777777777776</v>
      </c>
      <c r="D8" s="20">
        <f>SUM(8,6,5,9,9,9,5,1,4,5,3,7,8,3,6)/180</f>
        <v>0.48888888888888887</v>
      </c>
      <c r="E8" s="20">
        <f>SUM(6,6,6,5,8,9,5,2,4,10,1,7,5,4,8)/180</f>
        <v>0.4777777777777778</v>
      </c>
      <c r="F8" s="20">
        <f>SUM(8,5,6,4,5,6,5,3,6,9,4,6,7,4,7)/180</f>
        <v>0.47222222222222221</v>
      </c>
      <c r="G8" s="20">
        <f>SUM(3,4,5,4,6,7,5,3,6,7,3,9,6,2,5)/180</f>
        <v>0.41666666666666669</v>
      </c>
      <c r="H8" s="18">
        <v>0</v>
      </c>
      <c r="I8" s="21">
        <f>SUM(9,6,5,9,7,10,7,1,6,8,4,10,9,4,8)/180</f>
        <v>0.57222222222222219</v>
      </c>
      <c r="J8" s="20">
        <f>SUM(7,5,5,7,8,9,7,5,6,7,4,10,9,6,6)/180</f>
        <v>0.56111111111111112</v>
      </c>
      <c r="K8" s="20">
        <f>SUM(6,4,4,9,4,7,5,4,7,7,6,9,6,4,7)/180</f>
        <v>0.49444444444444446</v>
      </c>
      <c r="L8" s="20">
        <f>SUM(6,4,6,3,2,7,4,1,6,4,3,4,8,3,4)/180</f>
        <v>0.3611111111111111</v>
      </c>
      <c r="M8" s="20">
        <f>SUM(5,5,5,3,2,6,3,1,6,5,4,6,5,2,4)/180</f>
        <v>0.34444444444444444</v>
      </c>
      <c r="O8" s="50"/>
      <c r="P8" s="33">
        <v>2</v>
      </c>
      <c r="Q8" s="38" t="s">
        <v>130</v>
      </c>
      <c r="R8" s="38" t="s">
        <v>125</v>
      </c>
      <c r="S8" s="38" t="s">
        <v>115</v>
      </c>
      <c r="T8" s="38" t="s">
        <v>116</v>
      </c>
    </row>
    <row r="9" spans="1:20" x14ac:dyDescent="0.25">
      <c r="A9" s="17" t="s">
        <v>84</v>
      </c>
      <c r="B9" s="15">
        <f>SUM(7,9,9,6,2,6,6,1,8,5,9,1,9,4,4)/180</f>
        <v>0.4777777777777778</v>
      </c>
      <c r="C9" s="21">
        <f>SUM(9,9,7,7,5,4,5,2,5,4,6,9,5,7,7)/180</f>
        <v>0.50555555555555554</v>
      </c>
      <c r="D9" s="21">
        <f>SUM(9,10,10,9,7,6,6,1,6,6,5,8,8,2,7)/180</f>
        <v>0.55555555555555558</v>
      </c>
      <c r="E9" s="21">
        <f>SUM(7,11,8,7,7,9,6,2,6,8,5,9,7,5,9)/180</f>
        <v>0.58888888888888891</v>
      </c>
      <c r="F9" s="21">
        <f>SUM(9,8,8,5,4,7,6,2,4,6,3,8,9,5,8)/180</f>
        <v>0.51111111111111107</v>
      </c>
      <c r="G9" s="21">
        <f>SUM(5,8,7,5,5,7,4,1,4,6,3,9,6,5,7)/180</f>
        <v>0.45555555555555555</v>
      </c>
      <c r="H9" s="21">
        <f>SUM(9,6,5,9,7,10,7,1,6,8,4,10,9,4,8)/180</f>
        <v>0.57222222222222219</v>
      </c>
      <c r="I9" s="22">
        <v>0</v>
      </c>
      <c r="J9" s="20">
        <f>SUM(7,7,6,6,9,8,7,3,5,5,2,11,11,7,6)/180</f>
        <v>0.55555555555555558</v>
      </c>
      <c r="K9" s="15">
        <f>SUM(8,9,10,11,3,6,6,3,5,7,6,11,7,5,6)/180</f>
        <v>0.57222222222222219</v>
      </c>
      <c r="L9" s="20">
        <f>SUM(6,6,4,4,0,6,3,3,5,4,9,5,10,2,3)/180</f>
        <v>0.3888888888888889</v>
      </c>
      <c r="M9" s="20">
        <f>SUM(6,5,8,3,1,7,4,2,7,5,9,8,6,1,3)/180</f>
        <v>0.41666666666666669</v>
      </c>
      <c r="O9" s="50"/>
      <c r="P9" s="33">
        <v>3</v>
      </c>
      <c r="Q9" s="38" t="s">
        <v>131</v>
      </c>
      <c r="R9" s="38" t="s">
        <v>126</v>
      </c>
      <c r="S9" s="38" t="s">
        <v>117</v>
      </c>
      <c r="T9" s="38" t="s">
        <v>118</v>
      </c>
    </row>
    <row r="10" spans="1:20" x14ac:dyDescent="0.25">
      <c r="A10" s="17" t="s">
        <v>85</v>
      </c>
      <c r="B10" s="19">
        <f>SUM(6,6,9,3,2,5,8,1,4,5,2,1,8,8,2)/180</f>
        <v>0.3888888888888889</v>
      </c>
      <c r="C10" s="20">
        <f>SUM(6,8,8,3,4,4,8,1,5,4,6,9,5,8,4)/180</f>
        <v>0.46111111111111114</v>
      </c>
      <c r="D10" s="20">
        <f>SUM(9,6,8,5,8,8,8,3,7,6,1,8,7,4,4)/180</f>
        <v>0.51111111111111107</v>
      </c>
      <c r="E10" s="20">
        <f>SUM(7,8,7,4,6,9,7,2,4,6,1,8,6,5,6)/180</f>
        <v>0.4777777777777778</v>
      </c>
      <c r="F10" s="20">
        <f>SUM(6,6,6,5,3,6,8,1,6,4,3,7,8,6,5)/180</f>
        <v>0.44444444444444442</v>
      </c>
      <c r="G10" s="20">
        <f>SUM(5,8,7,4,4,7,5,1,6,2,5,9,5,5,4)/180</f>
        <v>0.42777777777777776</v>
      </c>
      <c r="H10" s="20">
        <f>SUM(7,5,5,7,8,9,7,5,6,7,4,10,9,6,6)/180</f>
        <v>0.56111111111111112</v>
      </c>
      <c r="I10" s="20">
        <f>SUM(7,7,6,6,9,8,7,3,5,5,2,11,11,7,6)/180</f>
        <v>0.55555555555555558</v>
      </c>
      <c r="J10" s="23">
        <v>0</v>
      </c>
      <c r="K10" s="20">
        <f>SUM(9,9,7,6,3,6,8,9,4,6,2,10,7,6,9)/180</f>
        <v>0.56111111111111112</v>
      </c>
      <c r="L10" s="15">
        <f>SUM(5,4,4,1,0,6,3,2,5,5,2,5,9,2,5)/180</f>
        <v>0.32222222222222224</v>
      </c>
      <c r="M10" s="20">
        <f>SUM(4,5,7,1,1,5,6,3,3,5,2,7,6,1,5)/180</f>
        <v>0.33888888888888891</v>
      </c>
      <c r="O10" s="50"/>
      <c r="P10" s="33">
        <v>4</v>
      </c>
      <c r="Q10" s="38" t="s">
        <v>132</v>
      </c>
      <c r="R10" s="38" t="s">
        <v>127</v>
      </c>
      <c r="S10" s="38" t="s">
        <v>119</v>
      </c>
      <c r="T10" s="38" t="s">
        <v>120</v>
      </c>
    </row>
    <row r="11" spans="1:20" x14ac:dyDescent="0.25">
      <c r="A11" s="17" t="s">
        <v>86</v>
      </c>
      <c r="B11" s="19">
        <f>SUM(7,7,9,6,3,3,6,1,5,2,7,1,5,3,3)/180</f>
        <v>0.37777777777777777</v>
      </c>
      <c r="C11" s="20">
        <f>SUM(8,9,8,8,3,5,6,2,4,2,5,8,5,6,5)/180</f>
        <v>0.46666666666666667</v>
      </c>
      <c r="D11" s="15">
        <f>SUM(9,8,10,9,5,6,6,2,3,5,6,7,4,3,5)/180</f>
        <v>0.48888888888888887</v>
      </c>
      <c r="E11" s="20">
        <f>SUM(8,9,8,7,4,7,7,2,3,7,5,8,7,4,7)/180</f>
        <v>0.51666666666666672</v>
      </c>
      <c r="F11" s="20">
        <f>SUM(7,8,7,5,5,5,8,1,4,5,2,7,6,6,6)/180</f>
        <v>0.45555555555555555</v>
      </c>
      <c r="G11" s="20">
        <f>SUM(6,9,7,5,7,5,5,1,4,3,2,8,5,3,4)/180</f>
        <v>0.41111111111111109</v>
      </c>
      <c r="H11" s="20">
        <f>SUM(6,4,4,9,4,7,5,4,7,7,6,9,6,4,7)/180</f>
        <v>0.49444444444444446</v>
      </c>
      <c r="I11" s="15">
        <f>SUM(8,9,10,11,3,6,6,3,5,7,6,11,7,5,6)/180</f>
        <v>0.57222222222222219</v>
      </c>
      <c r="J11" s="20">
        <f>SUM(9,9,7,6,3,6,8,9,4,6,2,10,7,6,9)/180</f>
        <v>0.56111111111111112</v>
      </c>
      <c r="K11" s="23">
        <v>0</v>
      </c>
      <c r="L11" s="20">
        <f>SUM(5,5,4,4,5,4,4,2,6,3,6,4,7,4,5)/180</f>
        <v>0.37777777777777777</v>
      </c>
      <c r="M11" s="15">
        <f>SUM(5,2,8,3,3,5,5,3,7,4,6,8,8,2,4)/180</f>
        <v>0.40555555555555556</v>
      </c>
      <c r="O11" s="50"/>
      <c r="P11" s="35">
        <v>5</v>
      </c>
      <c r="Q11" s="38" t="s">
        <v>133</v>
      </c>
      <c r="R11" s="38" t="s">
        <v>128</v>
      </c>
      <c r="S11" s="38" t="s">
        <v>121</v>
      </c>
      <c r="T11" s="38" t="s">
        <v>122</v>
      </c>
    </row>
    <row r="12" spans="1:20" x14ac:dyDescent="0.25">
      <c r="A12" s="17" t="s">
        <v>87</v>
      </c>
      <c r="B12" s="19">
        <f>SUM(5,6,5,5,5,5,3,1,5,6,8,4,8,1,5)/180</f>
        <v>0.4</v>
      </c>
      <c r="C12" s="20">
        <f>SUM(5,5,5,2,3,4,4,2,6,4,6,5,5,3,2)/180</f>
        <v>0.33888888888888891</v>
      </c>
      <c r="D12" s="20">
        <f>SUM(6,6,5,4,1,6,3,4,4,3,5,5,7,2,4)/180</f>
        <v>0.3611111111111111</v>
      </c>
      <c r="E12" s="15">
        <f>SUM(4,6,6,3,1,7,5,1,5,3,6,6,7,2,3)/180</f>
        <v>0.3611111111111111</v>
      </c>
      <c r="F12" s="20">
        <f>SUM(3,6,4,2,4,7,2,2,5,2,3,5,8,4,4)/180</f>
        <v>0.33888888888888891</v>
      </c>
      <c r="G12" s="20">
        <f>SUM(3,6,5,2,3,7,4,0,4,2,3,4,6,1,3)/180</f>
        <v>0.29444444444444445</v>
      </c>
      <c r="H12" s="20">
        <f>SUM(6,4,6,3,2,7,4,1,6,4,3,4,8,3,4)/180</f>
        <v>0.3611111111111111</v>
      </c>
      <c r="I12" s="20">
        <f>SUM(6,6,4,4,0,6,3,3,5,4,9,5,10,2,3)/180</f>
        <v>0.3888888888888889</v>
      </c>
      <c r="J12" s="15">
        <f>SUM(5,4,4,1,0,6,3,2,5,5,2,5,9,2,5)/180</f>
        <v>0.32222222222222224</v>
      </c>
      <c r="K12" s="20">
        <f>SUM(5,5,4,4,5,4,4,2,6,3,6,4,7,4,5)/180</f>
        <v>0.37777777777777777</v>
      </c>
      <c r="L12" s="23">
        <v>0</v>
      </c>
      <c r="M12" s="20">
        <f>SUM(9,7,6,5,8,8,4,5,7,10,9,4,6,9,7)/180</f>
        <v>0.57777777777777772</v>
      </c>
    </row>
    <row r="13" spans="1:20" x14ac:dyDescent="0.25">
      <c r="A13" s="17" t="s">
        <v>88</v>
      </c>
      <c r="B13" s="19">
        <f>SUM(5,5,10,5,6,5,3,1,7,5,9,2,4,1,5)/180</f>
        <v>0.40555555555555556</v>
      </c>
      <c r="C13" s="20">
        <f>SUM(5,4,7,2,3,3,4,2,5,5,5,7,5,1,3)/190</f>
        <v>0.32105263157894737</v>
      </c>
      <c r="D13" s="20">
        <f>SUM(6,5,10,4,2,4,5,2,4,4,5,7,3,2,4)/180</f>
        <v>0.37222222222222223</v>
      </c>
      <c r="E13" s="20">
        <f>SUM(5,5,9,2,1,6,4,1,6,4,8,7,6,1,3)/180</f>
        <v>0.37777777777777777</v>
      </c>
      <c r="F13" s="15">
        <f>SUM(6,3,8,2,4,7,4,2,4,3,2,6,6,1,4)/180</f>
        <v>0.34444444444444444</v>
      </c>
      <c r="G13" s="20">
        <f>SUM(4,3,8,1,3,6,3,0,4,3,2,6,4,1,3)/180</f>
        <v>0.28333333333333333</v>
      </c>
      <c r="H13" s="20">
        <f>SUM(5,5,5,3,2,6,3,1,6,5,4,6,5,2,4)/180</f>
        <v>0.34444444444444444</v>
      </c>
      <c r="I13" s="20">
        <f>SUM(6,5,8,3,1,7,4,2,7,5,9,8,6,1,3)/180</f>
        <v>0.41666666666666669</v>
      </c>
      <c r="J13" s="20">
        <f>SUM(4,5,7,1,1,5,6,3,3,5,2,7,6,1,5)/180</f>
        <v>0.33888888888888891</v>
      </c>
      <c r="K13" s="15">
        <f>SUM(5,2,8,3,3,5,5,3,7,4,6,8,8,2,4)/180</f>
        <v>0.40555555555555556</v>
      </c>
      <c r="L13" s="20">
        <f>SUM(9,7,6,5,8,8,4,5,7,10,9,4,6,9,7)/180</f>
        <v>0.57777777777777772</v>
      </c>
      <c r="M13" s="23">
        <v>0</v>
      </c>
    </row>
    <row r="15" spans="1:20" x14ac:dyDescent="0.25">
      <c r="A15" s="2" t="s">
        <v>8</v>
      </c>
      <c r="B15" s="2" t="s">
        <v>89</v>
      </c>
      <c r="C15" s="2" t="s">
        <v>10</v>
      </c>
      <c r="D15" s="2" t="s">
        <v>11</v>
      </c>
      <c r="E15" s="2" t="s">
        <v>44</v>
      </c>
      <c r="F15" s="2" t="s">
        <v>45</v>
      </c>
    </row>
    <row r="16" spans="1:20" x14ac:dyDescent="0.25">
      <c r="A16" s="1" t="s">
        <v>77</v>
      </c>
      <c r="B16" s="29">
        <v>1</v>
      </c>
      <c r="C16" s="29">
        <v>10</v>
      </c>
      <c r="D16" s="25" t="s">
        <v>13</v>
      </c>
      <c r="E16" s="25" t="s">
        <v>90</v>
      </c>
      <c r="F16" s="1">
        <v>1</v>
      </c>
    </row>
    <row r="17" spans="1:6" x14ac:dyDescent="0.25">
      <c r="A17" s="1" t="s">
        <v>78</v>
      </c>
      <c r="B17" s="29">
        <v>2</v>
      </c>
      <c r="C17" s="29">
        <v>9</v>
      </c>
      <c r="D17" s="25" t="s">
        <v>12</v>
      </c>
      <c r="E17" s="25" t="s">
        <v>91</v>
      </c>
      <c r="F17" s="1">
        <v>1</v>
      </c>
    </row>
    <row r="18" spans="1:6" x14ac:dyDescent="0.25">
      <c r="A18" s="1" t="s">
        <v>79</v>
      </c>
      <c r="B18" s="29">
        <v>3</v>
      </c>
      <c r="C18" s="29">
        <v>5</v>
      </c>
      <c r="D18" s="25" t="s">
        <v>13</v>
      </c>
      <c r="E18" s="25" t="s">
        <v>48</v>
      </c>
      <c r="F18" s="1">
        <v>1</v>
      </c>
    </row>
    <row r="19" spans="1:6" x14ac:dyDescent="0.25">
      <c r="A19" s="1" t="s">
        <v>80</v>
      </c>
      <c r="B19" s="1">
        <v>4</v>
      </c>
      <c r="C19" s="1">
        <v>5</v>
      </c>
      <c r="D19" s="25" t="s">
        <v>12</v>
      </c>
      <c r="E19" s="25" t="s">
        <v>48</v>
      </c>
      <c r="F19" s="1">
        <v>1</v>
      </c>
    </row>
    <row r="20" spans="1:6" x14ac:dyDescent="0.25">
      <c r="A20" s="1" t="s">
        <v>81</v>
      </c>
      <c r="B20" s="1">
        <v>5</v>
      </c>
      <c r="C20" s="1">
        <v>3</v>
      </c>
      <c r="D20" s="25" t="s">
        <v>12</v>
      </c>
      <c r="E20" s="25" t="s">
        <v>92</v>
      </c>
      <c r="F20" s="1">
        <v>1</v>
      </c>
    </row>
    <row r="21" spans="1:6" x14ac:dyDescent="0.25">
      <c r="A21" s="1" t="s">
        <v>82</v>
      </c>
      <c r="B21" s="1">
        <v>6</v>
      </c>
      <c r="C21" s="1">
        <v>3</v>
      </c>
      <c r="D21" s="25" t="s">
        <v>12</v>
      </c>
      <c r="E21" s="25" t="s">
        <v>92</v>
      </c>
      <c r="F21" s="1">
        <v>1</v>
      </c>
    </row>
    <row r="22" spans="1:6" x14ac:dyDescent="0.25">
      <c r="A22" s="1" t="s">
        <v>83</v>
      </c>
      <c r="B22" s="1">
        <v>7</v>
      </c>
      <c r="C22" s="1">
        <v>1</v>
      </c>
      <c r="D22" s="25" t="s">
        <v>13</v>
      </c>
      <c r="E22" s="25" t="s">
        <v>50</v>
      </c>
      <c r="F22" s="1">
        <v>1</v>
      </c>
    </row>
    <row r="23" spans="1:6" x14ac:dyDescent="0.25">
      <c r="A23" s="1" t="s">
        <v>84</v>
      </c>
      <c r="B23" s="1">
        <v>8</v>
      </c>
      <c r="C23" s="1">
        <v>1</v>
      </c>
      <c r="D23" s="25" t="s">
        <v>13</v>
      </c>
      <c r="E23" s="25" t="s">
        <v>50</v>
      </c>
      <c r="F23" s="1">
        <v>1</v>
      </c>
    </row>
    <row r="24" spans="1:6" x14ac:dyDescent="0.25">
      <c r="A24" s="1" t="s">
        <v>85</v>
      </c>
      <c r="B24" s="1">
        <v>9</v>
      </c>
      <c r="C24" s="1">
        <v>1</v>
      </c>
      <c r="D24" s="25" t="s">
        <v>12</v>
      </c>
      <c r="E24" s="25" t="s">
        <v>50</v>
      </c>
      <c r="F24" s="1">
        <v>1</v>
      </c>
    </row>
    <row r="25" spans="1:6" x14ac:dyDescent="0.25">
      <c r="A25" s="1" t="s">
        <v>86</v>
      </c>
      <c r="B25" s="1">
        <v>10</v>
      </c>
      <c r="C25" s="1">
        <v>1</v>
      </c>
      <c r="D25" s="25" t="s">
        <v>12</v>
      </c>
      <c r="E25" s="25" t="s">
        <v>50</v>
      </c>
      <c r="F25" s="1">
        <v>1</v>
      </c>
    </row>
    <row r="26" spans="1:6" x14ac:dyDescent="0.25">
      <c r="A26" s="1" t="s">
        <v>87</v>
      </c>
      <c r="B26" s="1">
        <v>11</v>
      </c>
      <c r="C26" s="1">
        <v>0.5</v>
      </c>
      <c r="D26" s="25" t="s">
        <v>13</v>
      </c>
      <c r="E26" s="25" t="s">
        <v>93</v>
      </c>
      <c r="F26" s="1">
        <v>1</v>
      </c>
    </row>
    <row r="27" spans="1:6" x14ac:dyDescent="0.25">
      <c r="A27" s="1" t="s">
        <v>88</v>
      </c>
      <c r="B27" s="1">
        <v>12</v>
      </c>
      <c r="C27" s="1">
        <v>0.5</v>
      </c>
      <c r="D27" s="25" t="s">
        <v>12</v>
      </c>
      <c r="E27" s="25" t="s">
        <v>93</v>
      </c>
      <c r="F27" s="1">
        <v>1</v>
      </c>
    </row>
  </sheetData>
  <mergeCells count="2">
    <mergeCell ref="O2:O6"/>
    <mergeCell ref="O7:O11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5DBC0E-B65A-4E5D-BFEB-B96642FB529D}">
  <dimension ref="A1:M19"/>
  <sheetViews>
    <sheetView workbookViewId="0">
      <selection activeCell="M14" sqref="M14"/>
    </sheetView>
  </sheetViews>
  <sheetFormatPr defaultRowHeight="15" x14ac:dyDescent="0.25"/>
  <cols>
    <col min="1" max="1" width="10.7109375" customWidth="1"/>
    <col min="10" max="10" width="9.140625" customWidth="1"/>
    <col min="11" max="11" width="23.42578125" customWidth="1"/>
    <col min="12" max="12" width="11.7109375" customWidth="1"/>
    <col min="13" max="13" width="23.42578125" customWidth="1"/>
  </cols>
  <sheetData>
    <row r="1" spans="1:13" x14ac:dyDescent="0.25">
      <c r="A1" s="45" t="s">
        <v>40</v>
      </c>
      <c r="B1" s="17" t="s">
        <v>134</v>
      </c>
      <c r="C1" s="17" t="s">
        <v>135</v>
      </c>
      <c r="D1" s="17" t="s">
        <v>136</v>
      </c>
      <c r="E1" s="17" t="s">
        <v>137</v>
      </c>
      <c r="F1" s="17" t="s">
        <v>138</v>
      </c>
      <c r="H1" s="32"/>
      <c r="I1" s="17" t="s">
        <v>35</v>
      </c>
      <c r="J1" s="17" t="s">
        <v>32</v>
      </c>
      <c r="K1" s="17" t="s">
        <v>31</v>
      </c>
      <c r="L1" s="17" t="s">
        <v>34</v>
      </c>
      <c r="M1" s="2" t="s">
        <v>33</v>
      </c>
    </row>
    <row r="2" spans="1:13" x14ac:dyDescent="0.25">
      <c r="A2" s="17" t="s">
        <v>134</v>
      </c>
      <c r="B2" s="43">
        <v>0</v>
      </c>
      <c r="C2" s="20">
        <f>SUM(6,5,8,9,5,7,9,9,6,7,9,8,5,7,8)/180</f>
        <v>0.6</v>
      </c>
      <c r="D2" s="20">
        <f>SUM(3,4,5,5,7,7,7,5,5,5,5,6,3,4,7)/180</f>
        <v>0.43333333333333335</v>
      </c>
      <c r="E2" s="20">
        <f>SUM(7,5,6,8,3,6,3,7,4,6,7,6,8,7,7)/180</f>
        <v>0.5</v>
      </c>
      <c r="F2" s="20">
        <f>SUM(10,6,7,8,7,6,7,6,6,6,6,5,3,6,4)/180</f>
        <v>0.51666666666666672</v>
      </c>
      <c r="H2" s="50" t="s">
        <v>52</v>
      </c>
      <c r="I2" s="33">
        <v>1</v>
      </c>
      <c r="J2" s="38" t="s">
        <v>153</v>
      </c>
      <c r="K2" s="38" t="s">
        <v>142</v>
      </c>
      <c r="L2" s="38" t="s">
        <v>140</v>
      </c>
      <c r="M2" s="38" t="s">
        <v>141</v>
      </c>
    </row>
    <row r="3" spans="1:13" x14ac:dyDescent="0.25">
      <c r="A3" s="17" t="s">
        <v>135</v>
      </c>
      <c r="B3" s="20">
        <f>SUM(6,5,8,9,5,7,9,9,6,7,9,8,5,7,8)/180</f>
        <v>0.6</v>
      </c>
      <c r="C3" s="43">
        <v>0</v>
      </c>
      <c r="D3" s="20">
        <f>SUM(6,3,5,5,7,8,5,4,9,5,6,5,4,3,9)/180</f>
        <v>0.46666666666666667</v>
      </c>
      <c r="E3" s="20">
        <f>SUM(7,6,6,7,2,8,3,6,6,6,7,8,5,7,7)/180</f>
        <v>0.50555555555555554</v>
      </c>
      <c r="F3" s="20">
        <f>SUM(5,7,8,7,5,5,6,7,8,6,6,6,4,6,3)/180</f>
        <v>0.49444444444444446</v>
      </c>
      <c r="H3" s="50"/>
      <c r="I3" s="33">
        <v>2</v>
      </c>
      <c r="J3" s="38" t="s">
        <v>154</v>
      </c>
      <c r="K3" s="38" t="s">
        <v>145</v>
      </c>
      <c r="L3" s="38" t="s">
        <v>143</v>
      </c>
      <c r="M3" s="38" t="s">
        <v>144</v>
      </c>
    </row>
    <row r="4" spans="1:13" x14ac:dyDescent="0.25">
      <c r="A4" s="17" t="s">
        <v>136</v>
      </c>
      <c r="B4" s="20">
        <f>SUM(3,4,5,5,7,7,7,5,5,5,5,6,3,4,7)/180</f>
        <v>0.43333333333333335</v>
      </c>
      <c r="C4" s="20">
        <f>SUM(6,3,5,5,7,8,5,4,9,5,6,5,4,3,9)/180</f>
        <v>0.46666666666666667</v>
      </c>
      <c r="D4" s="43">
        <v>0</v>
      </c>
      <c r="E4" s="20">
        <f>SUM(6,3,5,6,3,6,2,6,6,7,6,4,6,3,6)/180</f>
        <v>0.41666666666666669</v>
      </c>
      <c r="F4" s="20">
        <f>SUM(4,4,4,4,5,4,8,3,9,7,4,2,6,3,3)/180</f>
        <v>0.3888888888888889</v>
      </c>
      <c r="H4" s="50"/>
      <c r="I4" s="33">
        <v>3</v>
      </c>
      <c r="J4" s="38" t="s">
        <v>155</v>
      </c>
      <c r="K4" s="38" t="s">
        <v>148</v>
      </c>
      <c r="L4" s="38" t="s">
        <v>146</v>
      </c>
      <c r="M4" s="38" t="s">
        <v>147</v>
      </c>
    </row>
    <row r="5" spans="1:13" x14ac:dyDescent="0.25">
      <c r="A5" s="17" t="s">
        <v>137</v>
      </c>
      <c r="B5" s="20">
        <f>SUM(7,5,6,8,3,6,3,7,4,6,7,6,8,7,7)/180</f>
        <v>0.5</v>
      </c>
      <c r="C5" s="20">
        <f>SUM(7,6,6,7,2,8,3,6,6,6,7,8,5,7,7)/180</f>
        <v>0.50555555555555554</v>
      </c>
      <c r="D5" s="20">
        <f>SUM(6,3,5,6,3,6,2,6,6,7,6,4,6,3,6)/180</f>
        <v>0.41666666666666669</v>
      </c>
      <c r="E5" s="43">
        <v>0</v>
      </c>
      <c r="F5" s="20">
        <f>SUM(6,6,7,8,2,5,2,5,5,5,6,5,3,6,3)/180</f>
        <v>0.41111111111111109</v>
      </c>
      <c r="H5" s="50"/>
      <c r="I5" s="33">
        <v>4</v>
      </c>
      <c r="J5" s="38" t="s">
        <v>156</v>
      </c>
      <c r="K5" s="38" t="s">
        <v>151</v>
      </c>
      <c r="L5" s="38" t="s">
        <v>149</v>
      </c>
      <c r="M5" s="38" t="s">
        <v>150</v>
      </c>
    </row>
    <row r="6" spans="1:13" x14ac:dyDescent="0.25">
      <c r="A6" s="17" t="s">
        <v>139</v>
      </c>
      <c r="B6" s="20">
        <f>SUM(10,6,7,8,7,6,7,6,6,6,6,5,3,6,4)/180</f>
        <v>0.51666666666666672</v>
      </c>
      <c r="C6" s="20">
        <f>SUM(5,7,8,7,5,5,6,7,8,6,6,6,4,6,3)/180</f>
        <v>0.49444444444444446</v>
      </c>
      <c r="D6" s="20">
        <f>SUM(4,4,4,4,5,4,8,3,9,7,4,2,6,3,3)/180</f>
        <v>0.3888888888888889</v>
      </c>
      <c r="E6" s="20">
        <f>SUM(6,6,7,8,2,5,2,5,5,5,6,5,3,6,3)/180</f>
        <v>0.41111111111111109</v>
      </c>
      <c r="F6" s="43">
        <v>0</v>
      </c>
      <c r="H6" s="50"/>
      <c r="I6" s="33">
        <v>5</v>
      </c>
      <c r="J6" s="38" t="s">
        <v>156</v>
      </c>
      <c r="K6" s="47" t="s">
        <v>152</v>
      </c>
      <c r="L6" s="48">
        <v>2</v>
      </c>
      <c r="M6" s="49">
        <v>0.11180555555555556</v>
      </c>
    </row>
    <row r="7" spans="1:13" x14ac:dyDescent="0.25">
      <c r="F7" s="42"/>
      <c r="H7" s="50" t="s">
        <v>53</v>
      </c>
      <c r="I7" s="33">
        <v>1</v>
      </c>
      <c r="J7" s="38" t="s">
        <v>171</v>
      </c>
      <c r="K7" s="38" t="s">
        <v>165</v>
      </c>
      <c r="L7" s="38" t="s">
        <v>157</v>
      </c>
      <c r="M7" s="38" t="s">
        <v>158</v>
      </c>
    </row>
    <row r="8" spans="1:13" x14ac:dyDescent="0.25">
      <c r="A8" s="45" t="s">
        <v>41</v>
      </c>
      <c r="B8" s="16" t="s">
        <v>134</v>
      </c>
      <c r="C8" s="17" t="s">
        <v>135</v>
      </c>
      <c r="D8" s="16" t="s">
        <v>136</v>
      </c>
      <c r="E8" s="17" t="s">
        <v>138</v>
      </c>
      <c r="H8" s="50"/>
      <c r="I8" s="33">
        <v>2</v>
      </c>
      <c r="J8" s="38" t="s">
        <v>172</v>
      </c>
      <c r="K8" s="38" t="s">
        <v>166</v>
      </c>
      <c r="L8" s="38" t="s">
        <v>159</v>
      </c>
      <c r="M8" s="38" t="s">
        <v>160</v>
      </c>
    </row>
    <row r="9" spans="1:13" x14ac:dyDescent="0.25">
      <c r="A9" s="40" t="s">
        <v>134</v>
      </c>
      <c r="B9" s="39">
        <v>0</v>
      </c>
      <c r="C9" s="19">
        <f>SUM(7,7,6,8,6,6,8,5)/96</f>
        <v>0.55208333333333337</v>
      </c>
      <c r="D9" s="19">
        <f>SUM(8,6,6,5,5,7,7,5)/96</f>
        <v>0.51041666666666663</v>
      </c>
      <c r="E9" s="19">
        <f>SUM(9,5,5,4,7,7,6,5)/96</f>
        <v>0.5</v>
      </c>
      <c r="H9" s="50"/>
      <c r="I9" s="33">
        <v>3</v>
      </c>
      <c r="J9" s="38" t="s">
        <v>173</v>
      </c>
      <c r="K9" s="38" t="s">
        <v>167</v>
      </c>
      <c r="L9" s="38" t="s">
        <v>161</v>
      </c>
      <c r="M9" s="38" t="s">
        <v>162</v>
      </c>
    </row>
    <row r="10" spans="1:13" x14ac:dyDescent="0.25">
      <c r="A10" s="17" t="s">
        <v>135</v>
      </c>
      <c r="B10" s="19">
        <f>SUM(7,7,6,8,6,6,8,5)/96</f>
        <v>0.55208333333333337</v>
      </c>
      <c r="C10" s="39">
        <v>0</v>
      </c>
      <c r="D10" s="20">
        <f>SUM(8,5,6,5,8,7,7,7)/96</f>
        <v>0.55208333333333337</v>
      </c>
      <c r="E10" s="20">
        <f>SUM(8,6,8,5,6,8,8,6)/96</f>
        <v>0.57291666666666663</v>
      </c>
      <c r="H10" s="50"/>
      <c r="I10" s="33">
        <v>4</v>
      </c>
      <c r="J10" s="38" t="s">
        <v>168</v>
      </c>
      <c r="K10" s="38" t="s">
        <v>169</v>
      </c>
      <c r="L10" s="38" t="s">
        <v>163</v>
      </c>
      <c r="M10" s="38" t="s">
        <v>164</v>
      </c>
    </row>
    <row r="11" spans="1:13" x14ac:dyDescent="0.25">
      <c r="A11" s="17" t="s">
        <v>136</v>
      </c>
      <c r="B11" s="19">
        <f>SUM(8,6,6,5,5,7,7,5)/96</f>
        <v>0.51041666666666663</v>
      </c>
      <c r="C11" s="20">
        <f>SUM(8,5,6,5,8,7,7,7)/96</f>
        <v>0.55208333333333337</v>
      </c>
      <c r="D11" s="39">
        <v>0</v>
      </c>
      <c r="E11" s="20">
        <f>SUM(10,4,7,5,6,8,6,6)/96</f>
        <v>0.54166666666666663</v>
      </c>
      <c r="H11" s="50"/>
      <c r="I11" s="35">
        <v>5</v>
      </c>
      <c r="J11" s="48" t="s">
        <v>168</v>
      </c>
      <c r="K11" s="47" t="s">
        <v>170</v>
      </c>
      <c r="L11" s="38">
        <v>2</v>
      </c>
      <c r="M11" s="47">
        <v>7.2916666666666671E-2</v>
      </c>
    </row>
    <row r="12" spans="1:13" x14ac:dyDescent="0.25">
      <c r="A12" s="17" t="s">
        <v>138</v>
      </c>
      <c r="B12" s="19">
        <f>SUM(9,5,5,4,7,7,6,5)/96</f>
        <v>0.5</v>
      </c>
      <c r="C12" s="20">
        <f>SUM(8,6,8,5,6,8,8,6)/96</f>
        <v>0.57291666666666663</v>
      </c>
      <c r="D12" s="20">
        <f>SUM(10,4,7,5,6,8,6,6)/96</f>
        <v>0.54166666666666663</v>
      </c>
      <c r="E12" s="43">
        <v>0</v>
      </c>
      <c r="H12" s="41"/>
      <c r="J12" s="41"/>
    </row>
    <row r="13" spans="1:13" x14ac:dyDescent="0.25">
      <c r="H13" s="41"/>
      <c r="J13" s="41"/>
    </row>
    <row r="14" spans="1:13" x14ac:dyDescent="0.25">
      <c r="A14" s="44" t="s">
        <v>8</v>
      </c>
      <c r="B14" s="44" t="s">
        <v>9</v>
      </c>
      <c r="C14" s="44" t="s">
        <v>10</v>
      </c>
      <c r="D14" s="44" t="s">
        <v>11</v>
      </c>
      <c r="E14" s="44" t="s">
        <v>44</v>
      </c>
      <c r="F14" s="44" t="s">
        <v>45</v>
      </c>
    </row>
    <row r="15" spans="1:13" x14ac:dyDescent="0.25">
      <c r="A15" s="1" t="s">
        <v>134</v>
      </c>
      <c r="B15" s="29">
        <v>1</v>
      </c>
      <c r="C15" s="29">
        <v>13</v>
      </c>
      <c r="D15" s="25" t="s">
        <v>12</v>
      </c>
      <c r="E15" s="25" t="s">
        <v>48</v>
      </c>
      <c r="F15" s="46" t="s">
        <v>51</v>
      </c>
    </row>
    <row r="16" spans="1:13" x14ac:dyDescent="0.25">
      <c r="A16" s="1" t="s">
        <v>135</v>
      </c>
      <c r="B16" s="29">
        <v>2</v>
      </c>
      <c r="C16" s="29">
        <v>11</v>
      </c>
      <c r="D16" s="25" t="s">
        <v>12</v>
      </c>
      <c r="E16" s="25" t="s">
        <v>50</v>
      </c>
      <c r="F16" s="46" t="s">
        <v>51</v>
      </c>
    </row>
    <row r="17" spans="1:6" x14ac:dyDescent="0.25">
      <c r="A17" s="1" t="s">
        <v>136</v>
      </c>
      <c r="B17" s="29">
        <v>3</v>
      </c>
      <c r="C17" s="29">
        <v>11</v>
      </c>
      <c r="D17" s="25" t="s">
        <v>12</v>
      </c>
      <c r="E17" s="25" t="s">
        <v>50</v>
      </c>
      <c r="F17" s="46" t="s">
        <v>51</v>
      </c>
    </row>
    <row r="18" spans="1:6" x14ac:dyDescent="0.25">
      <c r="A18" s="1" t="s">
        <v>138</v>
      </c>
      <c r="B18" s="1">
        <v>4</v>
      </c>
      <c r="C18" s="1">
        <v>12</v>
      </c>
      <c r="D18" s="25" t="s">
        <v>13</v>
      </c>
      <c r="E18" s="25" t="s">
        <v>92</v>
      </c>
      <c r="F18" s="46" t="s">
        <v>51</v>
      </c>
    </row>
    <row r="19" spans="1:6" x14ac:dyDescent="0.25">
      <c r="A19" s="1" t="s">
        <v>137</v>
      </c>
      <c r="B19" s="1">
        <v>5</v>
      </c>
      <c r="C19" s="1">
        <v>12</v>
      </c>
      <c r="D19" s="25" t="s">
        <v>13</v>
      </c>
      <c r="E19" s="25" t="s">
        <v>92</v>
      </c>
      <c r="F19" s="1">
        <v>1</v>
      </c>
    </row>
  </sheetData>
  <mergeCells count="2">
    <mergeCell ref="H2:H6"/>
    <mergeCell ref="H7:H11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E16152-D059-4DDE-A0FD-07C73230DA0E}">
  <dimension ref="A1:H291"/>
  <sheetViews>
    <sheetView tabSelected="1" workbookViewId="0">
      <selection activeCell="D5" sqref="D5"/>
    </sheetView>
  </sheetViews>
  <sheetFormatPr defaultRowHeight="15" x14ac:dyDescent="0.25"/>
  <cols>
    <col min="8" max="8" width="12.5703125" customWidth="1"/>
  </cols>
  <sheetData>
    <row r="1" spans="1:8" x14ac:dyDescent="0.25">
      <c r="A1" s="14" t="s">
        <v>174</v>
      </c>
      <c r="B1" s="14" t="s">
        <v>175</v>
      </c>
      <c r="C1" s="14" t="s">
        <v>54</v>
      </c>
      <c r="D1" s="14" t="s">
        <v>176</v>
      </c>
      <c r="E1" s="14" t="s">
        <v>177</v>
      </c>
      <c r="F1" s="14" t="s">
        <v>11</v>
      </c>
      <c r="G1" s="14" t="s">
        <v>178</v>
      </c>
      <c r="H1" s="14" t="s">
        <v>179</v>
      </c>
    </row>
    <row r="2" spans="1:8" x14ac:dyDescent="0.25">
      <c r="A2" t="s">
        <v>180</v>
      </c>
      <c r="B2">
        <v>1</v>
      </c>
      <c r="C2">
        <v>1</v>
      </c>
      <c r="D2" t="s">
        <v>0</v>
      </c>
      <c r="E2">
        <v>9</v>
      </c>
      <c r="F2">
        <v>0</v>
      </c>
      <c r="G2">
        <v>1</v>
      </c>
      <c r="H2">
        <v>1</v>
      </c>
    </row>
    <row r="3" spans="1:8" x14ac:dyDescent="0.25">
      <c r="A3" t="s">
        <v>180</v>
      </c>
      <c r="B3">
        <v>1</v>
      </c>
      <c r="C3">
        <v>1</v>
      </c>
      <c r="D3" t="s">
        <v>1</v>
      </c>
      <c r="E3">
        <v>7</v>
      </c>
      <c r="F3">
        <v>1</v>
      </c>
      <c r="G3">
        <v>1</v>
      </c>
      <c r="H3">
        <v>1</v>
      </c>
    </row>
    <row r="4" spans="1:8" x14ac:dyDescent="0.25">
      <c r="A4" t="s">
        <v>180</v>
      </c>
      <c r="B4">
        <v>1</v>
      </c>
      <c r="C4">
        <v>1</v>
      </c>
      <c r="D4" t="s">
        <v>2</v>
      </c>
      <c r="E4">
        <v>4</v>
      </c>
      <c r="F4">
        <v>1</v>
      </c>
      <c r="G4">
        <v>161</v>
      </c>
      <c r="H4">
        <v>1</v>
      </c>
    </row>
    <row r="5" spans="1:8" x14ac:dyDescent="0.25">
      <c r="A5" t="s">
        <v>180</v>
      </c>
      <c r="B5">
        <v>1</v>
      </c>
      <c r="C5">
        <v>1</v>
      </c>
      <c r="D5" t="s">
        <v>3</v>
      </c>
      <c r="E5">
        <v>1</v>
      </c>
      <c r="F5">
        <v>1</v>
      </c>
      <c r="G5">
        <v>1</v>
      </c>
      <c r="H5">
        <v>1</v>
      </c>
    </row>
    <row r="6" spans="1:8" x14ac:dyDescent="0.25">
      <c r="A6" t="s">
        <v>180</v>
      </c>
      <c r="B6">
        <v>1</v>
      </c>
      <c r="C6">
        <v>1</v>
      </c>
      <c r="D6" t="s">
        <v>36</v>
      </c>
      <c r="E6">
        <v>1</v>
      </c>
      <c r="F6">
        <v>0</v>
      </c>
      <c r="G6">
        <v>11</v>
      </c>
      <c r="H6">
        <v>1</v>
      </c>
    </row>
    <row r="7" spans="1:8" x14ac:dyDescent="0.25">
      <c r="A7" t="s">
        <v>180</v>
      </c>
      <c r="B7">
        <v>1</v>
      </c>
      <c r="C7">
        <v>1</v>
      </c>
      <c r="D7" t="s">
        <v>37</v>
      </c>
      <c r="E7">
        <v>1</v>
      </c>
      <c r="F7">
        <v>0</v>
      </c>
      <c r="G7">
        <v>2</v>
      </c>
      <c r="H7">
        <v>1</v>
      </c>
    </row>
    <row r="8" spans="1:8" x14ac:dyDescent="0.25">
      <c r="A8" t="s">
        <v>180</v>
      </c>
      <c r="B8">
        <v>1</v>
      </c>
      <c r="C8">
        <v>1</v>
      </c>
      <c r="D8" t="s">
        <v>38</v>
      </c>
      <c r="E8">
        <v>1</v>
      </c>
      <c r="F8">
        <v>0</v>
      </c>
      <c r="G8" t="s">
        <v>181</v>
      </c>
      <c r="H8">
        <v>1</v>
      </c>
    </row>
    <row r="9" spans="1:8" x14ac:dyDescent="0.25">
      <c r="A9" t="s">
        <v>180</v>
      </c>
      <c r="B9">
        <v>1</v>
      </c>
      <c r="C9">
        <v>1</v>
      </c>
      <c r="D9" t="s">
        <v>4</v>
      </c>
      <c r="E9">
        <v>0.25</v>
      </c>
      <c r="F9">
        <v>1</v>
      </c>
      <c r="G9" t="s">
        <v>181</v>
      </c>
      <c r="H9">
        <v>1</v>
      </c>
    </row>
    <row r="10" spans="1:8" x14ac:dyDescent="0.25">
      <c r="A10" t="s">
        <v>180</v>
      </c>
      <c r="B10">
        <v>1</v>
      </c>
      <c r="C10">
        <v>1</v>
      </c>
      <c r="D10" t="s">
        <v>5</v>
      </c>
      <c r="E10">
        <v>0.25</v>
      </c>
      <c r="F10">
        <v>1</v>
      </c>
      <c r="G10" t="s">
        <v>181</v>
      </c>
      <c r="H10">
        <v>1</v>
      </c>
    </row>
    <row r="11" spans="1:8" x14ac:dyDescent="0.25">
      <c r="A11" t="s">
        <v>180</v>
      </c>
      <c r="B11">
        <v>1</v>
      </c>
      <c r="C11">
        <v>1</v>
      </c>
      <c r="D11" t="s">
        <v>6</v>
      </c>
      <c r="E11">
        <v>0.25</v>
      </c>
      <c r="F11">
        <v>0</v>
      </c>
      <c r="G11" t="s">
        <v>181</v>
      </c>
      <c r="H11">
        <v>1</v>
      </c>
    </row>
    <row r="12" spans="1:8" x14ac:dyDescent="0.25">
      <c r="A12" t="s">
        <v>180</v>
      </c>
      <c r="B12">
        <v>1</v>
      </c>
      <c r="C12">
        <v>1</v>
      </c>
      <c r="D12" t="s">
        <v>39</v>
      </c>
      <c r="E12">
        <v>0.25</v>
      </c>
      <c r="F12">
        <v>1</v>
      </c>
      <c r="G12" t="s">
        <v>181</v>
      </c>
      <c r="H12">
        <v>1</v>
      </c>
    </row>
    <row r="13" spans="1:8" x14ac:dyDescent="0.25">
      <c r="A13" t="s">
        <v>180</v>
      </c>
      <c r="B13">
        <v>1</v>
      </c>
      <c r="C13">
        <v>1</v>
      </c>
      <c r="D13" t="s">
        <v>7</v>
      </c>
      <c r="E13">
        <v>0.25</v>
      </c>
      <c r="F13">
        <v>0</v>
      </c>
      <c r="G13" t="s">
        <v>181</v>
      </c>
      <c r="H13">
        <v>1</v>
      </c>
    </row>
    <row r="14" spans="1:8" x14ac:dyDescent="0.25">
      <c r="A14" t="s">
        <v>180</v>
      </c>
      <c r="B14">
        <v>2</v>
      </c>
      <c r="C14">
        <v>5</v>
      </c>
      <c r="D14" t="s">
        <v>0</v>
      </c>
      <c r="E14">
        <v>9</v>
      </c>
      <c r="F14">
        <v>0</v>
      </c>
      <c r="G14">
        <v>39</v>
      </c>
      <c r="H14">
        <v>1</v>
      </c>
    </row>
    <row r="15" spans="1:8" x14ac:dyDescent="0.25">
      <c r="A15" t="s">
        <v>180</v>
      </c>
      <c r="B15">
        <v>2</v>
      </c>
      <c r="C15">
        <v>5</v>
      </c>
      <c r="D15" t="s">
        <v>1</v>
      </c>
      <c r="E15">
        <v>7</v>
      </c>
      <c r="F15">
        <v>1</v>
      </c>
      <c r="G15">
        <v>4</v>
      </c>
      <c r="H15">
        <v>1</v>
      </c>
    </row>
    <row r="16" spans="1:8" x14ac:dyDescent="0.25">
      <c r="A16" t="s">
        <v>180</v>
      </c>
      <c r="B16">
        <v>2</v>
      </c>
      <c r="C16">
        <v>5</v>
      </c>
      <c r="D16" t="s">
        <v>2</v>
      </c>
      <c r="E16">
        <v>4</v>
      </c>
      <c r="F16">
        <v>1</v>
      </c>
      <c r="G16">
        <v>92</v>
      </c>
      <c r="H16">
        <v>1</v>
      </c>
    </row>
    <row r="17" spans="1:8" x14ac:dyDescent="0.25">
      <c r="A17" t="s">
        <v>180</v>
      </c>
      <c r="B17">
        <v>2</v>
      </c>
      <c r="C17">
        <v>5</v>
      </c>
      <c r="D17" t="s">
        <v>3</v>
      </c>
      <c r="E17">
        <v>1</v>
      </c>
      <c r="F17">
        <v>1</v>
      </c>
      <c r="G17" t="s">
        <v>181</v>
      </c>
      <c r="H17">
        <v>1</v>
      </c>
    </row>
    <row r="18" spans="1:8" x14ac:dyDescent="0.25">
      <c r="A18" t="s">
        <v>180</v>
      </c>
      <c r="B18">
        <v>2</v>
      </c>
      <c r="C18">
        <v>5</v>
      </c>
      <c r="D18" t="s">
        <v>36</v>
      </c>
      <c r="E18">
        <v>1</v>
      </c>
      <c r="F18">
        <v>0</v>
      </c>
      <c r="G18" t="s">
        <v>181</v>
      </c>
      <c r="H18">
        <v>1</v>
      </c>
    </row>
    <row r="19" spans="1:8" x14ac:dyDescent="0.25">
      <c r="A19" t="s">
        <v>180</v>
      </c>
      <c r="B19">
        <v>2</v>
      </c>
      <c r="C19">
        <v>5</v>
      </c>
      <c r="D19" t="s">
        <v>37</v>
      </c>
      <c r="E19">
        <v>1</v>
      </c>
      <c r="F19">
        <v>0</v>
      </c>
      <c r="G19">
        <v>11</v>
      </c>
      <c r="H19">
        <v>1</v>
      </c>
    </row>
    <row r="20" spans="1:8" x14ac:dyDescent="0.25">
      <c r="A20" t="s">
        <v>180</v>
      </c>
      <c r="B20">
        <v>2</v>
      </c>
      <c r="C20">
        <v>5</v>
      </c>
      <c r="D20" t="s">
        <v>38</v>
      </c>
      <c r="E20">
        <v>1</v>
      </c>
      <c r="F20">
        <v>0</v>
      </c>
      <c r="G20">
        <v>51</v>
      </c>
      <c r="H20">
        <v>1</v>
      </c>
    </row>
    <row r="21" spans="1:8" x14ac:dyDescent="0.25">
      <c r="A21" t="s">
        <v>180</v>
      </c>
      <c r="B21">
        <v>2</v>
      </c>
      <c r="C21">
        <v>5</v>
      </c>
      <c r="D21" t="s">
        <v>4</v>
      </c>
      <c r="E21">
        <v>0.25</v>
      </c>
      <c r="F21">
        <v>1</v>
      </c>
      <c r="G21" t="s">
        <v>181</v>
      </c>
      <c r="H21">
        <v>1</v>
      </c>
    </row>
    <row r="22" spans="1:8" x14ac:dyDescent="0.25">
      <c r="A22" t="s">
        <v>180</v>
      </c>
      <c r="B22">
        <v>2</v>
      </c>
      <c r="C22">
        <v>5</v>
      </c>
      <c r="D22" t="s">
        <v>5</v>
      </c>
      <c r="E22">
        <v>0.25</v>
      </c>
      <c r="F22">
        <v>1</v>
      </c>
      <c r="G22" t="s">
        <v>181</v>
      </c>
      <c r="H22">
        <v>1</v>
      </c>
    </row>
    <row r="23" spans="1:8" x14ac:dyDescent="0.25">
      <c r="A23" t="s">
        <v>180</v>
      </c>
      <c r="B23">
        <v>2</v>
      </c>
      <c r="C23">
        <v>5</v>
      </c>
      <c r="D23" t="s">
        <v>6</v>
      </c>
      <c r="E23">
        <v>0.25</v>
      </c>
      <c r="F23">
        <v>0</v>
      </c>
      <c r="G23" t="s">
        <v>181</v>
      </c>
      <c r="H23">
        <v>1</v>
      </c>
    </row>
    <row r="24" spans="1:8" x14ac:dyDescent="0.25">
      <c r="A24" t="s">
        <v>180</v>
      </c>
      <c r="B24">
        <v>2</v>
      </c>
      <c r="C24">
        <v>5</v>
      </c>
      <c r="D24" t="s">
        <v>39</v>
      </c>
      <c r="E24">
        <v>0.25</v>
      </c>
      <c r="F24">
        <v>1</v>
      </c>
      <c r="G24" t="s">
        <v>181</v>
      </c>
      <c r="H24">
        <v>1</v>
      </c>
    </row>
    <row r="25" spans="1:8" x14ac:dyDescent="0.25">
      <c r="A25" t="s">
        <v>180</v>
      </c>
      <c r="B25">
        <v>2</v>
      </c>
      <c r="C25">
        <v>5</v>
      </c>
      <c r="D25" t="s">
        <v>7</v>
      </c>
      <c r="E25">
        <v>0.25</v>
      </c>
      <c r="F25">
        <v>0</v>
      </c>
      <c r="G25" t="s">
        <v>181</v>
      </c>
      <c r="H25">
        <v>1</v>
      </c>
    </row>
    <row r="26" spans="1:8" x14ac:dyDescent="0.25">
      <c r="A26" t="s">
        <v>180</v>
      </c>
      <c r="B26">
        <v>3</v>
      </c>
      <c r="C26">
        <v>3</v>
      </c>
      <c r="D26" t="s">
        <v>0</v>
      </c>
      <c r="E26">
        <v>9</v>
      </c>
      <c r="F26">
        <v>0</v>
      </c>
      <c r="G26">
        <v>2</v>
      </c>
      <c r="H26">
        <v>1</v>
      </c>
    </row>
    <row r="27" spans="1:8" x14ac:dyDescent="0.25">
      <c r="A27" t="s">
        <v>180</v>
      </c>
      <c r="B27">
        <v>3</v>
      </c>
      <c r="C27">
        <v>3</v>
      </c>
      <c r="D27" t="s">
        <v>1</v>
      </c>
      <c r="E27">
        <v>7</v>
      </c>
      <c r="F27">
        <v>1</v>
      </c>
      <c r="G27">
        <v>34</v>
      </c>
      <c r="H27">
        <v>1</v>
      </c>
    </row>
    <row r="28" spans="1:8" x14ac:dyDescent="0.25">
      <c r="A28" t="s">
        <v>180</v>
      </c>
      <c r="B28">
        <v>3</v>
      </c>
      <c r="C28">
        <v>3</v>
      </c>
      <c r="D28" t="s">
        <v>2</v>
      </c>
      <c r="E28">
        <v>4</v>
      </c>
      <c r="F28">
        <v>1</v>
      </c>
      <c r="G28" t="s">
        <v>181</v>
      </c>
      <c r="H28">
        <v>1</v>
      </c>
    </row>
    <row r="29" spans="1:8" x14ac:dyDescent="0.25">
      <c r="A29" t="s">
        <v>180</v>
      </c>
      <c r="B29">
        <v>3</v>
      </c>
      <c r="C29">
        <v>3</v>
      </c>
      <c r="D29" t="s">
        <v>3</v>
      </c>
      <c r="E29">
        <v>1</v>
      </c>
      <c r="F29">
        <v>1</v>
      </c>
      <c r="G29">
        <v>303</v>
      </c>
      <c r="H29">
        <v>1</v>
      </c>
    </row>
    <row r="30" spans="1:8" x14ac:dyDescent="0.25">
      <c r="A30" t="s">
        <v>180</v>
      </c>
      <c r="B30">
        <v>3</v>
      </c>
      <c r="C30">
        <v>3</v>
      </c>
      <c r="D30" t="s">
        <v>36</v>
      </c>
      <c r="E30">
        <v>1</v>
      </c>
      <c r="F30">
        <v>0</v>
      </c>
      <c r="G30" t="s">
        <v>181</v>
      </c>
      <c r="H30">
        <v>1</v>
      </c>
    </row>
    <row r="31" spans="1:8" x14ac:dyDescent="0.25">
      <c r="A31" t="s">
        <v>180</v>
      </c>
      <c r="B31">
        <v>3</v>
      </c>
      <c r="C31">
        <v>3</v>
      </c>
      <c r="D31" t="s">
        <v>37</v>
      </c>
      <c r="E31">
        <v>1</v>
      </c>
      <c r="F31">
        <v>0</v>
      </c>
      <c r="G31">
        <v>634</v>
      </c>
      <c r="H31">
        <v>1</v>
      </c>
    </row>
    <row r="32" spans="1:8" x14ac:dyDescent="0.25">
      <c r="A32" t="s">
        <v>180</v>
      </c>
      <c r="B32">
        <v>3</v>
      </c>
      <c r="C32">
        <v>3</v>
      </c>
      <c r="D32" t="s">
        <v>38</v>
      </c>
      <c r="E32">
        <v>1</v>
      </c>
      <c r="F32">
        <v>0</v>
      </c>
      <c r="G32">
        <v>97</v>
      </c>
      <c r="H32">
        <v>1</v>
      </c>
    </row>
    <row r="33" spans="1:8" x14ac:dyDescent="0.25">
      <c r="A33" t="s">
        <v>180</v>
      </c>
      <c r="B33">
        <v>3</v>
      </c>
      <c r="C33">
        <v>3</v>
      </c>
      <c r="D33" t="s">
        <v>4</v>
      </c>
      <c r="E33">
        <v>0.25</v>
      </c>
      <c r="F33">
        <v>1</v>
      </c>
      <c r="G33" t="s">
        <v>181</v>
      </c>
      <c r="H33">
        <v>1</v>
      </c>
    </row>
    <row r="34" spans="1:8" x14ac:dyDescent="0.25">
      <c r="A34" t="s">
        <v>180</v>
      </c>
      <c r="B34">
        <v>3</v>
      </c>
      <c r="C34">
        <v>3</v>
      </c>
      <c r="D34" t="s">
        <v>5</v>
      </c>
      <c r="E34">
        <v>0.25</v>
      </c>
      <c r="F34">
        <v>1</v>
      </c>
      <c r="G34" t="s">
        <v>181</v>
      </c>
      <c r="H34">
        <v>1</v>
      </c>
    </row>
    <row r="35" spans="1:8" x14ac:dyDescent="0.25">
      <c r="A35" t="s">
        <v>180</v>
      </c>
      <c r="B35">
        <v>3</v>
      </c>
      <c r="C35">
        <v>3</v>
      </c>
      <c r="D35" t="s">
        <v>6</v>
      </c>
      <c r="E35">
        <v>0.25</v>
      </c>
      <c r="F35">
        <v>0</v>
      </c>
      <c r="G35" t="s">
        <v>181</v>
      </c>
      <c r="H35">
        <v>1</v>
      </c>
    </row>
    <row r="36" spans="1:8" x14ac:dyDescent="0.25">
      <c r="A36" t="s">
        <v>180</v>
      </c>
      <c r="B36">
        <v>3</v>
      </c>
      <c r="C36">
        <v>3</v>
      </c>
      <c r="D36" t="s">
        <v>39</v>
      </c>
      <c r="E36">
        <v>0.25</v>
      </c>
      <c r="F36">
        <v>1</v>
      </c>
      <c r="G36" t="s">
        <v>181</v>
      </c>
      <c r="H36">
        <v>1</v>
      </c>
    </row>
    <row r="37" spans="1:8" x14ac:dyDescent="0.25">
      <c r="A37" t="s">
        <v>180</v>
      </c>
      <c r="B37">
        <v>3</v>
      </c>
      <c r="C37">
        <v>3</v>
      </c>
      <c r="D37" t="s">
        <v>7</v>
      </c>
      <c r="E37">
        <v>0.25</v>
      </c>
      <c r="F37">
        <v>0</v>
      </c>
      <c r="G37" t="s">
        <v>181</v>
      </c>
      <c r="H37">
        <v>1</v>
      </c>
    </row>
    <row r="38" spans="1:8" x14ac:dyDescent="0.25">
      <c r="A38" t="s">
        <v>180</v>
      </c>
      <c r="B38">
        <v>4</v>
      </c>
      <c r="C38">
        <v>2</v>
      </c>
      <c r="D38" t="s">
        <v>0</v>
      </c>
      <c r="E38">
        <v>9</v>
      </c>
      <c r="F38">
        <v>0</v>
      </c>
      <c r="G38">
        <v>87</v>
      </c>
      <c r="H38">
        <v>1</v>
      </c>
    </row>
    <row r="39" spans="1:8" x14ac:dyDescent="0.25">
      <c r="A39" t="s">
        <v>180</v>
      </c>
      <c r="B39">
        <v>4</v>
      </c>
      <c r="C39">
        <v>2</v>
      </c>
      <c r="D39" t="s">
        <v>1</v>
      </c>
      <c r="E39">
        <v>7</v>
      </c>
      <c r="F39">
        <v>1</v>
      </c>
      <c r="G39">
        <v>50</v>
      </c>
      <c r="H39">
        <v>1</v>
      </c>
    </row>
    <row r="40" spans="1:8" x14ac:dyDescent="0.25">
      <c r="A40" t="s">
        <v>180</v>
      </c>
      <c r="B40">
        <v>4</v>
      </c>
      <c r="C40">
        <v>2</v>
      </c>
      <c r="D40" t="s">
        <v>2</v>
      </c>
      <c r="E40">
        <v>4</v>
      </c>
      <c r="F40">
        <v>1</v>
      </c>
      <c r="G40" t="s">
        <v>181</v>
      </c>
      <c r="H40">
        <v>1</v>
      </c>
    </row>
    <row r="41" spans="1:8" x14ac:dyDescent="0.25">
      <c r="A41" t="s">
        <v>180</v>
      </c>
      <c r="B41">
        <v>4</v>
      </c>
      <c r="C41">
        <v>2</v>
      </c>
      <c r="D41" t="s">
        <v>3</v>
      </c>
      <c r="E41">
        <v>1</v>
      </c>
      <c r="F41">
        <v>1</v>
      </c>
      <c r="G41">
        <v>255</v>
      </c>
      <c r="H41">
        <v>1</v>
      </c>
    </row>
    <row r="42" spans="1:8" x14ac:dyDescent="0.25">
      <c r="A42" t="s">
        <v>180</v>
      </c>
      <c r="B42">
        <v>4</v>
      </c>
      <c r="C42">
        <v>2</v>
      </c>
      <c r="D42" t="s">
        <v>36</v>
      </c>
      <c r="E42">
        <v>1</v>
      </c>
      <c r="F42">
        <v>0</v>
      </c>
      <c r="G42">
        <v>25</v>
      </c>
      <c r="H42">
        <v>1</v>
      </c>
    </row>
    <row r="43" spans="1:8" x14ac:dyDescent="0.25">
      <c r="A43" t="s">
        <v>180</v>
      </c>
      <c r="B43">
        <v>4</v>
      </c>
      <c r="C43">
        <v>2</v>
      </c>
      <c r="D43" t="s">
        <v>37</v>
      </c>
      <c r="E43">
        <v>1</v>
      </c>
      <c r="F43">
        <v>0</v>
      </c>
      <c r="G43">
        <v>122</v>
      </c>
      <c r="H43">
        <v>1</v>
      </c>
    </row>
    <row r="44" spans="1:8" x14ac:dyDescent="0.25">
      <c r="A44" t="s">
        <v>180</v>
      </c>
      <c r="B44">
        <v>4</v>
      </c>
      <c r="C44">
        <v>2</v>
      </c>
      <c r="D44" t="s">
        <v>38</v>
      </c>
      <c r="E44">
        <v>1</v>
      </c>
      <c r="F44">
        <v>0</v>
      </c>
      <c r="G44">
        <v>95</v>
      </c>
      <c r="H44">
        <v>1</v>
      </c>
    </row>
    <row r="45" spans="1:8" x14ac:dyDescent="0.25">
      <c r="A45" t="s">
        <v>180</v>
      </c>
      <c r="B45">
        <v>4</v>
      </c>
      <c r="C45">
        <v>2</v>
      </c>
      <c r="D45" t="s">
        <v>4</v>
      </c>
      <c r="E45">
        <v>0.25</v>
      </c>
      <c r="F45">
        <v>1</v>
      </c>
      <c r="G45" t="s">
        <v>181</v>
      </c>
      <c r="H45">
        <v>1</v>
      </c>
    </row>
    <row r="46" spans="1:8" x14ac:dyDescent="0.25">
      <c r="A46" t="s">
        <v>180</v>
      </c>
      <c r="B46">
        <v>4</v>
      </c>
      <c r="C46">
        <v>2</v>
      </c>
      <c r="D46" t="s">
        <v>5</v>
      </c>
      <c r="E46">
        <v>0.25</v>
      </c>
      <c r="F46">
        <v>1</v>
      </c>
      <c r="G46" t="s">
        <v>181</v>
      </c>
      <c r="H46">
        <v>1</v>
      </c>
    </row>
    <row r="47" spans="1:8" x14ac:dyDescent="0.25">
      <c r="A47" t="s">
        <v>180</v>
      </c>
      <c r="B47">
        <v>4</v>
      </c>
      <c r="C47">
        <v>2</v>
      </c>
      <c r="D47" t="s">
        <v>6</v>
      </c>
      <c r="E47">
        <v>0.25</v>
      </c>
      <c r="F47">
        <v>0</v>
      </c>
      <c r="G47" t="s">
        <v>181</v>
      </c>
      <c r="H47">
        <v>1</v>
      </c>
    </row>
    <row r="48" spans="1:8" x14ac:dyDescent="0.25">
      <c r="A48" t="s">
        <v>180</v>
      </c>
      <c r="B48">
        <v>4</v>
      </c>
      <c r="C48">
        <v>2</v>
      </c>
      <c r="D48" t="s">
        <v>39</v>
      </c>
      <c r="E48">
        <v>0.25</v>
      </c>
      <c r="F48">
        <v>1</v>
      </c>
      <c r="G48" t="s">
        <v>181</v>
      </c>
      <c r="H48">
        <v>1</v>
      </c>
    </row>
    <row r="49" spans="1:8" x14ac:dyDescent="0.25">
      <c r="A49" t="s">
        <v>180</v>
      </c>
      <c r="B49">
        <v>4</v>
      </c>
      <c r="C49">
        <v>2</v>
      </c>
      <c r="D49" t="s">
        <v>7</v>
      </c>
      <c r="E49">
        <v>0.25</v>
      </c>
      <c r="F49">
        <v>0</v>
      </c>
      <c r="G49" t="s">
        <v>181</v>
      </c>
      <c r="H49">
        <v>1</v>
      </c>
    </row>
    <row r="50" spans="1:8" x14ac:dyDescent="0.25">
      <c r="A50" t="s">
        <v>180</v>
      </c>
      <c r="B50">
        <v>5</v>
      </c>
      <c r="C50">
        <v>4</v>
      </c>
      <c r="D50" t="s">
        <v>0</v>
      </c>
      <c r="E50">
        <v>9</v>
      </c>
      <c r="F50">
        <v>0</v>
      </c>
      <c r="G50">
        <v>47</v>
      </c>
      <c r="H50">
        <v>1</v>
      </c>
    </row>
    <row r="51" spans="1:8" x14ac:dyDescent="0.25">
      <c r="A51" t="s">
        <v>180</v>
      </c>
      <c r="B51">
        <v>5</v>
      </c>
      <c r="C51">
        <v>4</v>
      </c>
      <c r="D51" t="s">
        <v>1</v>
      </c>
      <c r="E51">
        <v>7</v>
      </c>
      <c r="F51">
        <v>1</v>
      </c>
      <c r="G51">
        <v>157</v>
      </c>
      <c r="H51">
        <v>1</v>
      </c>
    </row>
    <row r="52" spans="1:8" x14ac:dyDescent="0.25">
      <c r="A52" t="s">
        <v>180</v>
      </c>
      <c r="B52">
        <v>5</v>
      </c>
      <c r="C52">
        <v>4</v>
      </c>
      <c r="D52" t="s">
        <v>2</v>
      </c>
      <c r="E52">
        <v>4</v>
      </c>
      <c r="F52">
        <v>1</v>
      </c>
      <c r="G52" t="s">
        <v>181</v>
      </c>
      <c r="H52">
        <v>1</v>
      </c>
    </row>
    <row r="53" spans="1:8" x14ac:dyDescent="0.25">
      <c r="A53" t="s">
        <v>180</v>
      </c>
      <c r="B53">
        <v>5</v>
      </c>
      <c r="C53">
        <v>4</v>
      </c>
      <c r="D53" t="s">
        <v>3</v>
      </c>
      <c r="E53">
        <v>1</v>
      </c>
      <c r="F53">
        <v>1</v>
      </c>
      <c r="G53">
        <v>14</v>
      </c>
      <c r="H53">
        <v>1</v>
      </c>
    </row>
    <row r="54" spans="1:8" x14ac:dyDescent="0.25">
      <c r="A54" t="s">
        <v>180</v>
      </c>
      <c r="B54">
        <v>5</v>
      </c>
      <c r="C54">
        <v>4</v>
      </c>
      <c r="D54" t="s">
        <v>36</v>
      </c>
      <c r="E54">
        <v>1</v>
      </c>
      <c r="F54">
        <v>0</v>
      </c>
      <c r="G54">
        <v>74</v>
      </c>
      <c r="H54">
        <v>1</v>
      </c>
    </row>
    <row r="55" spans="1:8" x14ac:dyDescent="0.25">
      <c r="A55" t="s">
        <v>180</v>
      </c>
      <c r="B55">
        <v>5</v>
      </c>
      <c r="C55">
        <v>4</v>
      </c>
      <c r="D55" t="s">
        <v>37</v>
      </c>
      <c r="E55">
        <v>1</v>
      </c>
      <c r="F55">
        <v>0</v>
      </c>
      <c r="G55" t="s">
        <v>181</v>
      </c>
      <c r="H55">
        <v>1</v>
      </c>
    </row>
    <row r="56" spans="1:8" x14ac:dyDescent="0.25">
      <c r="A56" t="s">
        <v>180</v>
      </c>
      <c r="B56">
        <v>5</v>
      </c>
      <c r="C56">
        <v>4</v>
      </c>
      <c r="D56" t="s">
        <v>38</v>
      </c>
      <c r="E56">
        <v>1</v>
      </c>
      <c r="F56">
        <v>0</v>
      </c>
      <c r="G56" t="s">
        <v>181</v>
      </c>
      <c r="H56">
        <v>1</v>
      </c>
    </row>
    <row r="57" spans="1:8" x14ac:dyDescent="0.25">
      <c r="A57" t="s">
        <v>180</v>
      </c>
      <c r="B57">
        <v>5</v>
      </c>
      <c r="C57">
        <v>4</v>
      </c>
      <c r="D57" t="s">
        <v>4</v>
      </c>
      <c r="E57">
        <v>0.25</v>
      </c>
      <c r="F57">
        <v>1</v>
      </c>
      <c r="G57" t="s">
        <v>181</v>
      </c>
      <c r="H57">
        <v>1</v>
      </c>
    </row>
    <row r="58" spans="1:8" x14ac:dyDescent="0.25">
      <c r="A58" t="s">
        <v>180</v>
      </c>
      <c r="B58">
        <v>5</v>
      </c>
      <c r="C58">
        <v>4</v>
      </c>
      <c r="D58" t="s">
        <v>5</v>
      </c>
      <c r="E58">
        <v>0.25</v>
      </c>
      <c r="F58">
        <v>1</v>
      </c>
      <c r="G58" t="s">
        <v>181</v>
      </c>
      <c r="H58">
        <v>1</v>
      </c>
    </row>
    <row r="59" spans="1:8" x14ac:dyDescent="0.25">
      <c r="A59" t="s">
        <v>180</v>
      </c>
      <c r="B59">
        <v>5</v>
      </c>
      <c r="C59">
        <v>4</v>
      </c>
      <c r="D59" t="s">
        <v>6</v>
      </c>
      <c r="E59">
        <v>0.25</v>
      </c>
      <c r="F59">
        <v>0</v>
      </c>
      <c r="G59" t="s">
        <v>181</v>
      </c>
      <c r="H59">
        <v>1</v>
      </c>
    </row>
    <row r="60" spans="1:8" x14ac:dyDescent="0.25">
      <c r="A60" t="s">
        <v>180</v>
      </c>
      <c r="B60">
        <v>5</v>
      </c>
      <c r="C60">
        <v>4</v>
      </c>
      <c r="D60" t="s">
        <v>39</v>
      </c>
      <c r="E60">
        <v>0.25</v>
      </c>
      <c r="F60">
        <v>1</v>
      </c>
      <c r="G60" t="s">
        <v>181</v>
      </c>
      <c r="H60">
        <v>1</v>
      </c>
    </row>
    <row r="61" spans="1:8" x14ac:dyDescent="0.25">
      <c r="A61" t="s">
        <v>180</v>
      </c>
      <c r="B61">
        <v>5</v>
      </c>
      <c r="C61">
        <v>4</v>
      </c>
      <c r="D61" t="s">
        <v>7</v>
      </c>
      <c r="E61">
        <v>0.25</v>
      </c>
      <c r="F61">
        <v>0</v>
      </c>
      <c r="G61" t="s">
        <v>181</v>
      </c>
      <c r="H61">
        <v>1</v>
      </c>
    </row>
    <row r="62" spans="1:8" x14ac:dyDescent="0.25">
      <c r="A62" t="s">
        <v>182</v>
      </c>
      <c r="B62">
        <v>1</v>
      </c>
      <c r="C62">
        <v>1</v>
      </c>
      <c r="D62" t="s">
        <v>77</v>
      </c>
      <c r="E62">
        <v>10</v>
      </c>
      <c r="F62">
        <v>1</v>
      </c>
      <c r="G62">
        <v>6</v>
      </c>
      <c r="H62">
        <v>1</v>
      </c>
    </row>
    <row r="63" spans="1:8" x14ac:dyDescent="0.25">
      <c r="A63" t="s">
        <v>182</v>
      </c>
      <c r="B63">
        <v>1</v>
      </c>
      <c r="C63">
        <v>1</v>
      </c>
      <c r="D63" t="s">
        <v>78</v>
      </c>
      <c r="E63">
        <v>9</v>
      </c>
      <c r="F63">
        <v>0</v>
      </c>
      <c r="G63" t="s">
        <v>181</v>
      </c>
      <c r="H63">
        <v>1</v>
      </c>
    </row>
    <row r="64" spans="1:8" x14ac:dyDescent="0.25">
      <c r="A64" t="s">
        <v>182</v>
      </c>
      <c r="B64">
        <v>1</v>
      </c>
      <c r="C64">
        <v>1</v>
      </c>
      <c r="D64" t="s">
        <v>79</v>
      </c>
      <c r="E64">
        <v>5</v>
      </c>
      <c r="F64">
        <v>1</v>
      </c>
      <c r="G64" t="s">
        <v>181</v>
      </c>
      <c r="H64">
        <v>1</v>
      </c>
    </row>
    <row r="65" spans="1:8" x14ac:dyDescent="0.25">
      <c r="A65" t="s">
        <v>182</v>
      </c>
      <c r="B65">
        <v>1</v>
      </c>
      <c r="C65">
        <v>1</v>
      </c>
      <c r="D65" t="s">
        <v>80</v>
      </c>
      <c r="E65">
        <v>5</v>
      </c>
      <c r="F65">
        <v>0</v>
      </c>
      <c r="G65">
        <v>2</v>
      </c>
      <c r="H65">
        <v>1</v>
      </c>
    </row>
    <row r="66" spans="1:8" x14ac:dyDescent="0.25">
      <c r="A66" t="s">
        <v>182</v>
      </c>
      <c r="B66">
        <v>1</v>
      </c>
      <c r="C66">
        <v>1</v>
      </c>
      <c r="D66" t="s">
        <v>81</v>
      </c>
      <c r="E66">
        <v>4</v>
      </c>
      <c r="F66">
        <v>0</v>
      </c>
      <c r="G66">
        <v>3</v>
      </c>
      <c r="H66">
        <v>1</v>
      </c>
    </row>
    <row r="67" spans="1:8" x14ac:dyDescent="0.25">
      <c r="A67" t="s">
        <v>182</v>
      </c>
      <c r="B67">
        <v>1</v>
      </c>
      <c r="C67">
        <v>1</v>
      </c>
      <c r="D67" t="s">
        <v>82</v>
      </c>
      <c r="E67">
        <v>4</v>
      </c>
      <c r="F67">
        <v>0</v>
      </c>
      <c r="G67">
        <v>7</v>
      </c>
      <c r="H67">
        <v>1</v>
      </c>
    </row>
    <row r="68" spans="1:8" x14ac:dyDescent="0.25">
      <c r="A68" t="s">
        <v>182</v>
      </c>
      <c r="B68">
        <v>1</v>
      </c>
      <c r="C68">
        <v>1</v>
      </c>
      <c r="D68" t="s">
        <v>83</v>
      </c>
      <c r="E68">
        <v>1</v>
      </c>
      <c r="F68">
        <v>1</v>
      </c>
      <c r="G68" t="s">
        <v>181</v>
      </c>
      <c r="H68">
        <v>1</v>
      </c>
    </row>
    <row r="69" spans="1:8" x14ac:dyDescent="0.25">
      <c r="A69" t="s">
        <v>182</v>
      </c>
      <c r="B69">
        <v>1</v>
      </c>
      <c r="C69">
        <v>1</v>
      </c>
      <c r="D69" t="s">
        <v>84</v>
      </c>
      <c r="E69">
        <v>1</v>
      </c>
      <c r="F69">
        <v>1</v>
      </c>
      <c r="G69" t="s">
        <v>181</v>
      </c>
      <c r="H69">
        <v>1</v>
      </c>
    </row>
    <row r="70" spans="1:8" x14ac:dyDescent="0.25">
      <c r="A70" t="s">
        <v>182</v>
      </c>
      <c r="B70">
        <v>1</v>
      </c>
      <c r="C70">
        <v>1</v>
      </c>
      <c r="D70" t="s">
        <v>85</v>
      </c>
      <c r="E70">
        <v>1</v>
      </c>
      <c r="F70">
        <v>0</v>
      </c>
      <c r="G70">
        <v>5</v>
      </c>
      <c r="H70">
        <v>1</v>
      </c>
    </row>
    <row r="71" spans="1:8" x14ac:dyDescent="0.25">
      <c r="A71" t="s">
        <v>182</v>
      </c>
      <c r="B71">
        <v>1</v>
      </c>
      <c r="C71">
        <v>1</v>
      </c>
      <c r="D71" t="s">
        <v>86</v>
      </c>
      <c r="E71">
        <v>1</v>
      </c>
      <c r="F71">
        <v>0</v>
      </c>
      <c r="G71">
        <v>1</v>
      </c>
      <c r="H71">
        <v>1</v>
      </c>
    </row>
    <row r="72" spans="1:8" x14ac:dyDescent="0.25">
      <c r="A72" t="s">
        <v>182</v>
      </c>
      <c r="B72">
        <v>1</v>
      </c>
      <c r="C72">
        <v>1</v>
      </c>
      <c r="D72" t="s">
        <v>87</v>
      </c>
      <c r="E72">
        <v>0.5</v>
      </c>
      <c r="F72">
        <v>1</v>
      </c>
      <c r="G72" t="s">
        <v>181</v>
      </c>
      <c r="H72">
        <v>1</v>
      </c>
    </row>
    <row r="73" spans="1:8" x14ac:dyDescent="0.25">
      <c r="A73" t="s">
        <v>182</v>
      </c>
      <c r="B73">
        <v>1</v>
      </c>
      <c r="C73">
        <v>1</v>
      </c>
      <c r="D73" t="s">
        <v>88</v>
      </c>
      <c r="E73">
        <v>0.5</v>
      </c>
      <c r="F73">
        <v>0</v>
      </c>
      <c r="G73" t="s">
        <v>181</v>
      </c>
      <c r="H73">
        <v>1</v>
      </c>
    </row>
    <row r="74" spans="1:8" x14ac:dyDescent="0.25">
      <c r="A74" t="s">
        <v>182</v>
      </c>
      <c r="B74">
        <v>2</v>
      </c>
      <c r="C74">
        <v>2</v>
      </c>
      <c r="D74" t="s">
        <v>77</v>
      </c>
      <c r="E74">
        <v>10</v>
      </c>
      <c r="F74">
        <v>1</v>
      </c>
      <c r="G74">
        <v>8</v>
      </c>
      <c r="H74">
        <v>1</v>
      </c>
    </row>
    <row r="75" spans="1:8" x14ac:dyDescent="0.25">
      <c r="A75" t="s">
        <v>182</v>
      </c>
      <c r="B75">
        <v>2</v>
      </c>
      <c r="C75">
        <v>2</v>
      </c>
      <c r="D75" t="s">
        <v>78</v>
      </c>
      <c r="E75">
        <v>9</v>
      </c>
      <c r="F75">
        <v>0</v>
      </c>
      <c r="G75" t="s">
        <v>181</v>
      </c>
      <c r="H75">
        <v>1</v>
      </c>
    </row>
    <row r="76" spans="1:8" x14ac:dyDescent="0.25">
      <c r="A76" t="s">
        <v>182</v>
      </c>
      <c r="B76">
        <v>2</v>
      </c>
      <c r="C76">
        <v>2</v>
      </c>
      <c r="D76" t="s">
        <v>79</v>
      </c>
      <c r="E76">
        <v>5</v>
      </c>
      <c r="F76">
        <v>1</v>
      </c>
      <c r="G76" t="s">
        <v>181</v>
      </c>
      <c r="H76">
        <v>1</v>
      </c>
    </row>
    <row r="77" spans="1:8" x14ac:dyDescent="0.25">
      <c r="A77" t="s">
        <v>182</v>
      </c>
      <c r="B77">
        <v>2</v>
      </c>
      <c r="C77">
        <v>2</v>
      </c>
      <c r="D77" t="s">
        <v>80</v>
      </c>
      <c r="E77">
        <v>5</v>
      </c>
      <c r="F77">
        <v>0</v>
      </c>
      <c r="G77">
        <v>4</v>
      </c>
      <c r="H77">
        <v>1</v>
      </c>
    </row>
    <row r="78" spans="1:8" x14ac:dyDescent="0.25">
      <c r="A78" t="s">
        <v>182</v>
      </c>
      <c r="B78">
        <v>2</v>
      </c>
      <c r="C78">
        <v>2</v>
      </c>
      <c r="D78" t="s">
        <v>81</v>
      </c>
      <c r="E78">
        <v>4</v>
      </c>
      <c r="F78">
        <v>0</v>
      </c>
      <c r="G78">
        <v>18</v>
      </c>
      <c r="H78">
        <v>1</v>
      </c>
    </row>
    <row r="79" spans="1:8" x14ac:dyDescent="0.25">
      <c r="A79" t="s">
        <v>182</v>
      </c>
      <c r="B79">
        <v>2</v>
      </c>
      <c r="C79">
        <v>2</v>
      </c>
      <c r="D79" t="s">
        <v>82</v>
      </c>
      <c r="E79">
        <v>4</v>
      </c>
      <c r="F79">
        <v>0</v>
      </c>
      <c r="G79">
        <v>21</v>
      </c>
      <c r="H79">
        <v>1</v>
      </c>
    </row>
    <row r="80" spans="1:8" x14ac:dyDescent="0.25">
      <c r="A80" t="s">
        <v>182</v>
      </c>
      <c r="B80">
        <v>2</v>
      </c>
      <c r="C80">
        <v>2</v>
      </c>
      <c r="D80" t="s">
        <v>83</v>
      </c>
      <c r="E80">
        <v>1</v>
      </c>
      <c r="F80">
        <v>1</v>
      </c>
      <c r="G80" t="s">
        <v>181</v>
      </c>
      <c r="H80">
        <v>1</v>
      </c>
    </row>
    <row r="81" spans="1:8" x14ac:dyDescent="0.25">
      <c r="A81" t="s">
        <v>182</v>
      </c>
      <c r="B81">
        <v>2</v>
      </c>
      <c r="C81">
        <v>2</v>
      </c>
      <c r="D81" t="s">
        <v>84</v>
      </c>
      <c r="E81">
        <v>1</v>
      </c>
      <c r="F81">
        <v>1</v>
      </c>
      <c r="G81" t="s">
        <v>181</v>
      </c>
      <c r="H81">
        <v>1</v>
      </c>
    </row>
    <row r="82" spans="1:8" x14ac:dyDescent="0.25">
      <c r="A82" t="s">
        <v>182</v>
      </c>
      <c r="B82">
        <v>2</v>
      </c>
      <c r="C82">
        <v>2</v>
      </c>
      <c r="D82" t="s">
        <v>85</v>
      </c>
      <c r="E82">
        <v>1</v>
      </c>
      <c r="F82">
        <v>0</v>
      </c>
      <c r="G82">
        <v>8</v>
      </c>
      <c r="H82">
        <v>1</v>
      </c>
    </row>
    <row r="83" spans="1:8" x14ac:dyDescent="0.25">
      <c r="A83" t="s">
        <v>182</v>
      </c>
      <c r="B83">
        <v>2</v>
      </c>
      <c r="C83">
        <v>2</v>
      </c>
      <c r="D83" t="s">
        <v>86</v>
      </c>
      <c r="E83">
        <v>1</v>
      </c>
      <c r="F83">
        <v>0</v>
      </c>
      <c r="G83" t="s">
        <v>181</v>
      </c>
      <c r="H83">
        <v>1</v>
      </c>
    </row>
    <row r="84" spans="1:8" x14ac:dyDescent="0.25">
      <c r="A84" t="s">
        <v>182</v>
      </c>
      <c r="B84">
        <v>2</v>
      </c>
      <c r="C84">
        <v>2</v>
      </c>
      <c r="D84" t="s">
        <v>87</v>
      </c>
      <c r="E84">
        <v>0.5</v>
      </c>
      <c r="F84">
        <v>1</v>
      </c>
      <c r="G84" t="s">
        <v>181</v>
      </c>
      <c r="H84">
        <v>1</v>
      </c>
    </row>
    <row r="85" spans="1:8" x14ac:dyDescent="0.25">
      <c r="A85" t="s">
        <v>182</v>
      </c>
      <c r="B85">
        <v>2</v>
      </c>
      <c r="C85">
        <v>2</v>
      </c>
      <c r="D85" t="s">
        <v>88</v>
      </c>
      <c r="E85">
        <v>0.5</v>
      </c>
      <c r="F85">
        <v>0</v>
      </c>
      <c r="G85" t="s">
        <v>181</v>
      </c>
      <c r="H85">
        <v>1</v>
      </c>
    </row>
    <row r="86" spans="1:8" x14ac:dyDescent="0.25">
      <c r="A86" t="s">
        <v>182</v>
      </c>
      <c r="B86">
        <v>3</v>
      </c>
      <c r="C86">
        <v>3</v>
      </c>
      <c r="D86" t="s">
        <v>77</v>
      </c>
      <c r="E86">
        <v>10</v>
      </c>
      <c r="F86">
        <v>1</v>
      </c>
      <c r="G86">
        <v>24</v>
      </c>
      <c r="H86">
        <v>1</v>
      </c>
    </row>
    <row r="87" spans="1:8" x14ac:dyDescent="0.25">
      <c r="A87" t="s">
        <v>182</v>
      </c>
      <c r="B87">
        <v>3</v>
      </c>
      <c r="C87">
        <v>3</v>
      </c>
      <c r="D87" t="s">
        <v>78</v>
      </c>
      <c r="E87">
        <v>9</v>
      </c>
      <c r="F87">
        <v>0</v>
      </c>
      <c r="G87" t="s">
        <v>181</v>
      </c>
      <c r="H87">
        <v>1</v>
      </c>
    </row>
    <row r="88" spans="1:8" x14ac:dyDescent="0.25">
      <c r="A88" t="s">
        <v>182</v>
      </c>
      <c r="B88">
        <v>3</v>
      </c>
      <c r="C88">
        <v>3</v>
      </c>
      <c r="D88" t="s">
        <v>79</v>
      </c>
      <c r="E88">
        <v>5</v>
      </c>
      <c r="F88">
        <v>1</v>
      </c>
      <c r="G88">
        <v>29</v>
      </c>
      <c r="H88">
        <v>1</v>
      </c>
    </row>
    <row r="89" spans="1:8" x14ac:dyDescent="0.25">
      <c r="A89" t="s">
        <v>182</v>
      </c>
      <c r="B89">
        <v>3</v>
      </c>
      <c r="C89">
        <v>3</v>
      </c>
      <c r="D89" t="s">
        <v>80</v>
      </c>
      <c r="E89">
        <v>5</v>
      </c>
      <c r="F89">
        <v>0</v>
      </c>
      <c r="G89" t="s">
        <v>181</v>
      </c>
      <c r="H89">
        <v>1</v>
      </c>
    </row>
    <row r="90" spans="1:8" x14ac:dyDescent="0.25">
      <c r="A90" t="s">
        <v>182</v>
      </c>
      <c r="B90">
        <v>3</v>
      </c>
      <c r="C90">
        <v>3</v>
      </c>
      <c r="D90" t="s">
        <v>81</v>
      </c>
      <c r="E90">
        <v>4</v>
      </c>
      <c r="F90">
        <v>0</v>
      </c>
      <c r="G90" t="s">
        <v>181</v>
      </c>
      <c r="H90">
        <v>1</v>
      </c>
    </row>
    <row r="91" spans="1:8" x14ac:dyDescent="0.25">
      <c r="A91" t="s">
        <v>182</v>
      </c>
      <c r="B91">
        <v>3</v>
      </c>
      <c r="C91">
        <v>3</v>
      </c>
      <c r="D91" t="s">
        <v>82</v>
      </c>
      <c r="E91">
        <v>4</v>
      </c>
      <c r="F91">
        <v>0</v>
      </c>
      <c r="G91">
        <v>89</v>
      </c>
      <c r="H91">
        <v>1</v>
      </c>
    </row>
    <row r="92" spans="1:8" x14ac:dyDescent="0.25">
      <c r="A92" t="s">
        <v>182</v>
      </c>
      <c r="B92">
        <v>3</v>
      </c>
      <c r="C92">
        <v>3</v>
      </c>
      <c r="D92" t="s">
        <v>83</v>
      </c>
      <c r="E92">
        <v>1</v>
      </c>
      <c r="F92">
        <v>1</v>
      </c>
      <c r="G92">
        <v>156</v>
      </c>
      <c r="H92">
        <v>1</v>
      </c>
    </row>
    <row r="93" spans="1:8" x14ac:dyDescent="0.25">
      <c r="A93" t="s">
        <v>182</v>
      </c>
      <c r="B93">
        <v>3</v>
      </c>
      <c r="C93">
        <v>3</v>
      </c>
      <c r="D93" t="s">
        <v>84</v>
      </c>
      <c r="E93">
        <v>1</v>
      </c>
      <c r="F93">
        <v>1</v>
      </c>
      <c r="G93" t="s">
        <v>181</v>
      </c>
      <c r="H93">
        <v>1</v>
      </c>
    </row>
    <row r="94" spans="1:8" x14ac:dyDescent="0.25">
      <c r="A94" t="s">
        <v>182</v>
      </c>
      <c r="B94">
        <v>3</v>
      </c>
      <c r="C94">
        <v>3</v>
      </c>
      <c r="D94" t="s">
        <v>85</v>
      </c>
      <c r="E94">
        <v>1</v>
      </c>
      <c r="F94">
        <v>0</v>
      </c>
      <c r="G94">
        <v>118</v>
      </c>
      <c r="H94">
        <v>1</v>
      </c>
    </row>
    <row r="95" spans="1:8" x14ac:dyDescent="0.25">
      <c r="A95" t="s">
        <v>182</v>
      </c>
      <c r="B95">
        <v>3</v>
      </c>
      <c r="C95">
        <v>3</v>
      </c>
      <c r="D95" t="s">
        <v>86</v>
      </c>
      <c r="E95">
        <v>1</v>
      </c>
      <c r="F95">
        <v>0</v>
      </c>
      <c r="G95">
        <v>35</v>
      </c>
      <c r="H95">
        <v>1</v>
      </c>
    </row>
    <row r="96" spans="1:8" x14ac:dyDescent="0.25">
      <c r="A96" t="s">
        <v>182</v>
      </c>
      <c r="B96">
        <v>3</v>
      </c>
      <c r="C96">
        <v>3</v>
      </c>
      <c r="D96" t="s">
        <v>87</v>
      </c>
      <c r="E96">
        <v>0.5</v>
      </c>
      <c r="F96">
        <v>1</v>
      </c>
      <c r="G96" t="s">
        <v>181</v>
      </c>
      <c r="H96">
        <v>1</v>
      </c>
    </row>
    <row r="97" spans="1:8" x14ac:dyDescent="0.25">
      <c r="A97" t="s">
        <v>182</v>
      </c>
      <c r="B97">
        <v>3</v>
      </c>
      <c r="C97">
        <v>3</v>
      </c>
      <c r="D97" t="s">
        <v>88</v>
      </c>
      <c r="E97">
        <v>0.5</v>
      </c>
      <c r="F97">
        <v>0</v>
      </c>
      <c r="G97" t="s">
        <v>181</v>
      </c>
      <c r="H97">
        <v>1</v>
      </c>
    </row>
    <row r="98" spans="1:8" x14ac:dyDescent="0.25">
      <c r="A98" t="s">
        <v>182</v>
      </c>
      <c r="B98">
        <v>4</v>
      </c>
      <c r="C98">
        <v>5</v>
      </c>
      <c r="D98" t="s">
        <v>77</v>
      </c>
      <c r="E98">
        <v>10</v>
      </c>
      <c r="F98">
        <v>1</v>
      </c>
      <c r="G98">
        <v>924</v>
      </c>
      <c r="H98">
        <v>1</v>
      </c>
    </row>
    <row r="99" spans="1:8" x14ac:dyDescent="0.25">
      <c r="A99" t="s">
        <v>182</v>
      </c>
      <c r="B99">
        <v>4</v>
      </c>
      <c r="C99">
        <v>5</v>
      </c>
      <c r="D99" t="s">
        <v>78</v>
      </c>
      <c r="E99">
        <v>9</v>
      </c>
      <c r="F99">
        <v>0</v>
      </c>
      <c r="G99" t="s">
        <v>181</v>
      </c>
      <c r="H99">
        <v>1</v>
      </c>
    </row>
    <row r="100" spans="1:8" x14ac:dyDescent="0.25">
      <c r="A100" t="s">
        <v>182</v>
      </c>
      <c r="B100">
        <v>4</v>
      </c>
      <c r="C100">
        <v>5</v>
      </c>
      <c r="D100" t="s">
        <v>79</v>
      </c>
      <c r="E100">
        <v>5</v>
      </c>
      <c r="F100">
        <v>1</v>
      </c>
      <c r="G100">
        <v>421</v>
      </c>
      <c r="H100">
        <v>1</v>
      </c>
    </row>
    <row r="101" spans="1:8" x14ac:dyDescent="0.25">
      <c r="A101" t="s">
        <v>182</v>
      </c>
      <c r="B101">
        <v>4</v>
      </c>
      <c r="C101">
        <v>5</v>
      </c>
      <c r="D101" t="s">
        <v>80</v>
      </c>
      <c r="E101">
        <v>5</v>
      </c>
      <c r="F101">
        <v>0</v>
      </c>
      <c r="G101">
        <v>885</v>
      </c>
      <c r="H101">
        <v>1</v>
      </c>
    </row>
    <row r="102" spans="1:8" x14ac:dyDescent="0.25">
      <c r="A102" t="s">
        <v>182</v>
      </c>
      <c r="B102">
        <v>4</v>
      </c>
      <c r="C102">
        <v>5</v>
      </c>
      <c r="D102" t="s">
        <v>81</v>
      </c>
      <c r="E102">
        <v>4</v>
      </c>
      <c r="F102">
        <v>0</v>
      </c>
      <c r="G102">
        <v>541</v>
      </c>
      <c r="H102">
        <v>1</v>
      </c>
    </row>
    <row r="103" spans="1:8" x14ac:dyDescent="0.25">
      <c r="A103" t="s">
        <v>182</v>
      </c>
      <c r="B103">
        <v>4</v>
      </c>
      <c r="C103">
        <v>5</v>
      </c>
      <c r="D103" t="s">
        <v>82</v>
      </c>
      <c r="E103">
        <v>4</v>
      </c>
      <c r="F103">
        <v>0</v>
      </c>
      <c r="G103">
        <v>459</v>
      </c>
      <c r="H103">
        <v>1</v>
      </c>
    </row>
    <row r="104" spans="1:8" x14ac:dyDescent="0.25">
      <c r="A104" t="s">
        <v>182</v>
      </c>
      <c r="B104">
        <v>4</v>
      </c>
      <c r="C104">
        <v>5</v>
      </c>
      <c r="D104" t="s">
        <v>83</v>
      </c>
      <c r="E104">
        <v>1</v>
      </c>
      <c r="F104">
        <v>1</v>
      </c>
      <c r="G104" t="s">
        <v>181</v>
      </c>
      <c r="H104">
        <v>1</v>
      </c>
    </row>
    <row r="105" spans="1:8" x14ac:dyDescent="0.25">
      <c r="A105" t="s">
        <v>182</v>
      </c>
      <c r="B105">
        <v>4</v>
      </c>
      <c r="C105">
        <v>5</v>
      </c>
      <c r="D105" t="s">
        <v>84</v>
      </c>
      <c r="E105">
        <v>1</v>
      </c>
      <c r="F105">
        <v>1</v>
      </c>
      <c r="G105" t="s">
        <v>181</v>
      </c>
      <c r="H105">
        <v>1</v>
      </c>
    </row>
    <row r="106" spans="1:8" x14ac:dyDescent="0.25">
      <c r="A106" t="s">
        <v>182</v>
      </c>
      <c r="B106">
        <v>4</v>
      </c>
      <c r="C106">
        <v>5</v>
      </c>
      <c r="D106" t="s">
        <v>85</v>
      </c>
      <c r="E106">
        <v>1</v>
      </c>
      <c r="F106">
        <v>0</v>
      </c>
      <c r="G106">
        <v>592</v>
      </c>
      <c r="H106">
        <v>1</v>
      </c>
    </row>
    <row r="107" spans="1:8" x14ac:dyDescent="0.25">
      <c r="A107" t="s">
        <v>182</v>
      </c>
      <c r="B107">
        <v>4</v>
      </c>
      <c r="C107">
        <v>5</v>
      </c>
      <c r="D107" t="s">
        <v>86</v>
      </c>
      <c r="E107">
        <v>1</v>
      </c>
      <c r="F107">
        <v>0</v>
      </c>
      <c r="G107" t="s">
        <v>181</v>
      </c>
      <c r="H107">
        <v>1</v>
      </c>
    </row>
    <row r="108" spans="1:8" x14ac:dyDescent="0.25">
      <c r="A108" t="s">
        <v>182</v>
      </c>
      <c r="B108">
        <v>4</v>
      </c>
      <c r="C108">
        <v>5</v>
      </c>
      <c r="D108" t="s">
        <v>87</v>
      </c>
      <c r="E108">
        <v>0.5</v>
      </c>
      <c r="F108">
        <v>1</v>
      </c>
      <c r="G108" t="s">
        <v>181</v>
      </c>
      <c r="H108">
        <v>1</v>
      </c>
    </row>
    <row r="109" spans="1:8" x14ac:dyDescent="0.25">
      <c r="A109" t="s">
        <v>182</v>
      </c>
      <c r="B109">
        <v>4</v>
      </c>
      <c r="C109">
        <v>5</v>
      </c>
      <c r="D109" t="s">
        <v>88</v>
      </c>
      <c r="E109">
        <v>0.5</v>
      </c>
      <c r="F109">
        <v>0</v>
      </c>
      <c r="G109" t="s">
        <v>181</v>
      </c>
      <c r="H109">
        <v>1</v>
      </c>
    </row>
    <row r="110" spans="1:8" x14ac:dyDescent="0.25">
      <c r="A110" t="s">
        <v>182</v>
      </c>
      <c r="B110">
        <v>5</v>
      </c>
      <c r="C110">
        <v>4</v>
      </c>
      <c r="D110" t="s">
        <v>77</v>
      </c>
      <c r="E110">
        <v>10</v>
      </c>
      <c r="F110">
        <v>1</v>
      </c>
      <c r="G110">
        <v>31</v>
      </c>
      <c r="H110">
        <v>1</v>
      </c>
    </row>
    <row r="111" spans="1:8" x14ac:dyDescent="0.25">
      <c r="A111" t="s">
        <v>182</v>
      </c>
      <c r="B111">
        <v>5</v>
      </c>
      <c r="C111">
        <v>4</v>
      </c>
      <c r="D111" t="s">
        <v>78</v>
      </c>
      <c r="E111">
        <v>9</v>
      </c>
      <c r="F111">
        <v>0</v>
      </c>
      <c r="G111" t="s">
        <v>181</v>
      </c>
      <c r="H111">
        <v>1</v>
      </c>
    </row>
    <row r="112" spans="1:8" x14ac:dyDescent="0.25">
      <c r="A112" t="s">
        <v>182</v>
      </c>
      <c r="B112">
        <v>5</v>
      </c>
      <c r="C112">
        <v>4</v>
      </c>
      <c r="D112" t="s">
        <v>79</v>
      </c>
      <c r="E112">
        <v>5</v>
      </c>
      <c r="F112">
        <v>1</v>
      </c>
      <c r="G112">
        <v>357</v>
      </c>
      <c r="H112">
        <v>1</v>
      </c>
    </row>
    <row r="113" spans="1:8" x14ac:dyDescent="0.25">
      <c r="A113" t="s">
        <v>182</v>
      </c>
      <c r="B113">
        <v>5</v>
      </c>
      <c r="C113">
        <v>4</v>
      </c>
      <c r="D113" t="s">
        <v>80</v>
      </c>
      <c r="E113">
        <v>5</v>
      </c>
      <c r="F113">
        <v>0</v>
      </c>
      <c r="G113">
        <v>418</v>
      </c>
      <c r="H113">
        <v>1</v>
      </c>
    </row>
    <row r="114" spans="1:8" x14ac:dyDescent="0.25">
      <c r="A114" t="s">
        <v>182</v>
      </c>
      <c r="B114">
        <v>5</v>
      </c>
      <c r="C114">
        <v>4</v>
      </c>
      <c r="D114" t="s">
        <v>81</v>
      </c>
      <c r="E114">
        <v>4</v>
      </c>
      <c r="F114">
        <v>0</v>
      </c>
      <c r="G114" t="s">
        <v>181</v>
      </c>
      <c r="H114">
        <v>1</v>
      </c>
    </row>
    <row r="115" spans="1:8" x14ac:dyDescent="0.25">
      <c r="A115" t="s">
        <v>182</v>
      </c>
      <c r="B115">
        <v>5</v>
      </c>
      <c r="C115">
        <v>4</v>
      </c>
      <c r="D115" t="s">
        <v>82</v>
      </c>
      <c r="E115">
        <v>4</v>
      </c>
      <c r="F115">
        <v>0</v>
      </c>
      <c r="G115">
        <v>82</v>
      </c>
      <c r="H115">
        <v>1</v>
      </c>
    </row>
    <row r="116" spans="1:8" x14ac:dyDescent="0.25">
      <c r="A116" t="s">
        <v>182</v>
      </c>
      <c r="B116">
        <v>5</v>
      </c>
      <c r="C116">
        <v>4</v>
      </c>
      <c r="D116" t="s">
        <v>83</v>
      </c>
      <c r="E116">
        <v>1</v>
      </c>
      <c r="F116">
        <v>1</v>
      </c>
      <c r="G116" t="s">
        <v>181</v>
      </c>
      <c r="H116">
        <v>1</v>
      </c>
    </row>
    <row r="117" spans="1:8" x14ac:dyDescent="0.25">
      <c r="A117" t="s">
        <v>182</v>
      </c>
      <c r="B117">
        <v>5</v>
      </c>
      <c r="C117">
        <v>4</v>
      </c>
      <c r="D117" t="s">
        <v>84</v>
      </c>
      <c r="E117">
        <v>1</v>
      </c>
      <c r="F117">
        <v>1</v>
      </c>
      <c r="G117" t="s">
        <v>181</v>
      </c>
      <c r="H117">
        <v>1</v>
      </c>
    </row>
    <row r="118" spans="1:8" x14ac:dyDescent="0.25">
      <c r="A118" t="s">
        <v>182</v>
      </c>
      <c r="B118">
        <v>5</v>
      </c>
      <c r="C118">
        <v>4</v>
      </c>
      <c r="D118" t="s">
        <v>85</v>
      </c>
      <c r="E118">
        <v>1</v>
      </c>
      <c r="F118">
        <v>0</v>
      </c>
      <c r="G118">
        <v>58</v>
      </c>
      <c r="H118">
        <v>1</v>
      </c>
    </row>
    <row r="119" spans="1:8" x14ac:dyDescent="0.25">
      <c r="A119" t="s">
        <v>182</v>
      </c>
      <c r="B119">
        <v>5</v>
      </c>
      <c r="C119">
        <v>4</v>
      </c>
      <c r="D119" t="s">
        <v>86</v>
      </c>
      <c r="E119">
        <v>1</v>
      </c>
      <c r="F119">
        <v>0</v>
      </c>
      <c r="G119">
        <v>905</v>
      </c>
      <c r="H119">
        <v>1</v>
      </c>
    </row>
    <row r="120" spans="1:8" x14ac:dyDescent="0.25">
      <c r="A120" t="s">
        <v>182</v>
      </c>
      <c r="B120">
        <v>5</v>
      </c>
      <c r="C120">
        <v>4</v>
      </c>
      <c r="D120" t="s">
        <v>87</v>
      </c>
      <c r="E120">
        <v>0.5</v>
      </c>
      <c r="F120">
        <v>1</v>
      </c>
      <c r="G120" t="s">
        <v>181</v>
      </c>
      <c r="H120">
        <v>1</v>
      </c>
    </row>
    <row r="121" spans="1:8" x14ac:dyDescent="0.25">
      <c r="A121" t="s">
        <v>182</v>
      </c>
      <c r="B121">
        <v>5</v>
      </c>
      <c r="C121">
        <v>4</v>
      </c>
      <c r="D121" t="s">
        <v>88</v>
      </c>
      <c r="E121">
        <v>0.5</v>
      </c>
      <c r="F121">
        <v>0</v>
      </c>
      <c r="G121" t="s">
        <v>181</v>
      </c>
      <c r="H121">
        <v>1</v>
      </c>
    </row>
    <row r="122" spans="1:8" x14ac:dyDescent="0.25">
      <c r="A122" t="s">
        <v>183</v>
      </c>
      <c r="B122">
        <v>1</v>
      </c>
      <c r="C122">
        <v>5</v>
      </c>
      <c r="D122" t="s">
        <v>134</v>
      </c>
      <c r="E122">
        <v>13</v>
      </c>
      <c r="F122">
        <v>0</v>
      </c>
      <c r="G122">
        <v>25</v>
      </c>
      <c r="H122">
        <v>1</v>
      </c>
    </row>
    <row r="123" spans="1:8" x14ac:dyDescent="0.25">
      <c r="A123" t="s">
        <v>183</v>
      </c>
      <c r="B123">
        <v>1</v>
      </c>
      <c r="C123">
        <v>5</v>
      </c>
      <c r="D123" t="s">
        <v>135</v>
      </c>
      <c r="E123">
        <v>11</v>
      </c>
      <c r="F123">
        <v>0</v>
      </c>
      <c r="G123">
        <v>17</v>
      </c>
      <c r="H123">
        <v>1</v>
      </c>
    </row>
    <row r="124" spans="1:8" x14ac:dyDescent="0.25">
      <c r="A124" t="s">
        <v>183</v>
      </c>
      <c r="B124">
        <v>1</v>
      </c>
      <c r="C124">
        <v>5</v>
      </c>
      <c r="D124" t="s">
        <v>136</v>
      </c>
      <c r="E124">
        <v>11</v>
      </c>
      <c r="F124">
        <v>0</v>
      </c>
      <c r="G124">
        <v>6</v>
      </c>
      <c r="H124">
        <v>1</v>
      </c>
    </row>
    <row r="125" spans="1:8" x14ac:dyDescent="0.25">
      <c r="A125" t="s">
        <v>183</v>
      </c>
      <c r="B125">
        <v>1</v>
      </c>
      <c r="C125">
        <v>5</v>
      </c>
      <c r="D125" t="s">
        <v>138</v>
      </c>
      <c r="E125">
        <v>12</v>
      </c>
      <c r="F125">
        <v>1</v>
      </c>
      <c r="G125">
        <v>14</v>
      </c>
      <c r="H125">
        <v>1</v>
      </c>
    </row>
    <row r="126" spans="1:8" x14ac:dyDescent="0.25">
      <c r="A126" t="s">
        <v>183</v>
      </c>
      <c r="B126">
        <v>1</v>
      </c>
      <c r="C126">
        <v>5</v>
      </c>
      <c r="D126" t="s">
        <v>137</v>
      </c>
      <c r="E126">
        <v>12</v>
      </c>
      <c r="F126">
        <v>1</v>
      </c>
      <c r="G126" t="s">
        <v>181</v>
      </c>
      <c r="H126">
        <v>1</v>
      </c>
    </row>
    <row r="127" spans="1:8" x14ac:dyDescent="0.25">
      <c r="A127" t="s">
        <v>183</v>
      </c>
      <c r="B127">
        <v>2</v>
      </c>
      <c r="C127">
        <v>2</v>
      </c>
      <c r="D127" t="s">
        <v>134</v>
      </c>
      <c r="E127">
        <v>13</v>
      </c>
      <c r="F127">
        <v>0</v>
      </c>
      <c r="G127">
        <v>135</v>
      </c>
      <c r="H127">
        <v>1</v>
      </c>
    </row>
    <row r="128" spans="1:8" x14ac:dyDescent="0.25">
      <c r="A128" t="s">
        <v>183</v>
      </c>
      <c r="B128">
        <v>2</v>
      </c>
      <c r="C128">
        <v>2</v>
      </c>
      <c r="D128" t="s">
        <v>135</v>
      </c>
      <c r="E128">
        <v>11</v>
      </c>
      <c r="F128">
        <v>0</v>
      </c>
      <c r="G128">
        <v>20</v>
      </c>
      <c r="H128">
        <v>1</v>
      </c>
    </row>
    <row r="129" spans="1:8" x14ac:dyDescent="0.25">
      <c r="A129" t="s">
        <v>183</v>
      </c>
      <c r="B129">
        <v>2</v>
      </c>
      <c r="C129">
        <v>2</v>
      </c>
      <c r="D129" t="s">
        <v>136</v>
      </c>
      <c r="E129">
        <v>11</v>
      </c>
      <c r="F129">
        <v>0</v>
      </c>
      <c r="G129">
        <v>3</v>
      </c>
      <c r="H129">
        <v>1</v>
      </c>
    </row>
    <row r="130" spans="1:8" x14ac:dyDescent="0.25">
      <c r="A130" t="s">
        <v>183</v>
      </c>
      <c r="B130">
        <v>2</v>
      </c>
      <c r="C130">
        <v>2</v>
      </c>
      <c r="D130" t="s">
        <v>138</v>
      </c>
      <c r="E130">
        <v>12</v>
      </c>
      <c r="F130">
        <v>1</v>
      </c>
      <c r="G130" t="s">
        <v>181</v>
      </c>
      <c r="H130">
        <v>1</v>
      </c>
    </row>
    <row r="131" spans="1:8" x14ac:dyDescent="0.25">
      <c r="A131" t="s">
        <v>183</v>
      </c>
      <c r="B131">
        <v>2</v>
      </c>
      <c r="C131">
        <v>2</v>
      </c>
      <c r="D131" t="s">
        <v>137</v>
      </c>
      <c r="E131">
        <v>12</v>
      </c>
      <c r="F131">
        <v>1</v>
      </c>
      <c r="G131" t="s">
        <v>181</v>
      </c>
      <c r="H131">
        <v>1</v>
      </c>
    </row>
    <row r="132" spans="1:8" x14ac:dyDescent="0.25">
      <c r="A132" t="s">
        <v>183</v>
      </c>
      <c r="B132">
        <v>3</v>
      </c>
      <c r="C132">
        <v>1</v>
      </c>
      <c r="D132" t="s">
        <v>134</v>
      </c>
      <c r="E132">
        <v>13</v>
      </c>
      <c r="F132">
        <v>0</v>
      </c>
      <c r="G132" t="s">
        <v>181</v>
      </c>
      <c r="H132">
        <v>1</v>
      </c>
    </row>
    <row r="133" spans="1:8" x14ac:dyDescent="0.25">
      <c r="A133" t="s">
        <v>183</v>
      </c>
      <c r="B133">
        <v>3</v>
      </c>
      <c r="C133">
        <v>1</v>
      </c>
      <c r="D133" t="s">
        <v>135</v>
      </c>
      <c r="E133">
        <v>11</v>
      </c>
      <c r="F133">
        <v>0</v>
      </c>
      <c r="G133">
        <v>2075</v>
      </c>
      <c r="H133">
        <v>1</v>
      </c>
    </row>
    <row r="134" spans="1:8" x14ac:dyDescent="0.25">
      <c r="A134" t="s">
        <v>183</v>
      </c>
      <c r="B134">
        <v>3</v>
      </c>
      <c r="C134">
        <v>1</v>
      </c>
      <c r="D134" t="s">
        <v>136</v>
      </c>
      <c r="E134">
        <v>11</v>
      </c>
      <c r="F134">
        <v>0</v>
      </c>
      <c r="G134">
        <v>72</v>
      </c>
      <c r="H134">
        <v>1</v>
      </c>
    </row>
    <row r="135" spans="1:8" x14ac:dyDescent="0.25">
      <c r="A135" t="s">
        <v>183</v>
      </c>
      <c r="B135">
        <v>3</v>
      </c>
      <c r="C135">
        <v>1</v>
      </c>
      <c r="D135" t="s">
        <v>138</v>
      </c>
      <c r="E135">
        <v>12</v>
      </c>
      <c r="F135">
        <v>1</v>
      </c>
      <c r="G135">
        <v>2008</v>
      </c>
      <c r="H135">
        <v>1</v>
      </c>
    </row>
    <row r="136" spans="1:8" x14ac:dyDescent="0.25">
      <c r="A136" t="s">
        <v>183</v>
      </c>
      <c r="B136">
        <v>3</v>
      </c>
      <c r="C136">
        <v>1</v>
      </c>
      <c r="D136" t="s">
        <v>137</v>
      </c>
      <c r="E136">
        <v>12</v>
      </c>
      <c r="F136">
        <v>1</v>
      </c>
      <c r="G136" t="s">
        <v>181</v>
      </c>
      <c r="H136">
        <v>1</v>
      </c>
    </row>
    <row r="137" spans="1:8" x14ac:dyDescent="0.25">
      <c r="A137" t="s">
        <v>183</v>
      </c>
      <c r="B137">
        <v>4</v>
      </c>
      <c r="C137">
        <v>4</v>
      </c>
      <c r="D137" t="s">
        <v>134</v>
      </c>
      <c r="E137">
        <v>13</v>
      </c>
      <c r="F137">
        <v>0</v>
      </c>
      <c r="G137">
        <v>25</v>
      </c>
      <c r="H137">
        <v>1</v>
      </c>
    </row>
    <row r="138" spans="1:8" x14ac:dyDescent="0.25">
      <c r="A138" t="s">
        <v>183</v>
      </c>
      <c r="B138">
        <v>4</v>
      </c>
      <c r="C138">
        <v>4</v>
      </c>
      <c r="D138" t="s">
        <v>135</v>
      </c>
      <c r="E138">
        <v>11</v>
      </c>
      <c r="F138">
        <v>0</v>
      </c>
      <c r="G138">
        <v>25</v>
      </c>
      <c r="H138">
        <v>1</v>
      </c>
    </row>
    <row r="139" spans="1:8" x14ac:dyDescent="0.25">
      <c r="A139" t="s">
        <v>183</v>
      </c>
      <c r="B139">
        <v>4</v>
      </c>
      <c r="C139">
        <v>4</v>
      </c>
      <c r="D139" t="s">
        <v>136</v>
      </c>
      <c r="E139">
        <v>11</v>
      </c>
      <c r="F139">
        <v>0</v>
      </c>
      <c r="G139">
        <v>87</v>
      </c>
      <c r="H139">
        <v>1</v>
      </c>
    </row>
    <row r="140" spans="1:8" x14ac:dyDescent="0.25">
      <c r="A140" t="s">
        <v>183</v>
      </c>
      <c r="B140">
        <v>4</v>
      </c>
      <c r="C140">
        <v>4</v>
      </c>
      <c r="D140" t="s">
        <v>138</v>
      </c>
      <c r="E140">
        <v>12</v>
      </c>
      <c r="F140">
        <v>1</v>
      </c>
      <c r="G140" t="s">
        <v>181</v>
      </c>
      <c r="H140">
        <v>1</v>
      </c>
    </row>
    <row r="141" spans="1:8" x14ac:dyDescent="0.25">
      <c r="A141" t="s">
        <v>183</v>
      </c>
      <c r="B141">
        <v>4</v>
      </c>
      <c r="C141">
        <v>4</v>
      </c>
      <c r="D141" t="s">
        <v>137</v>
      </c>
      <c r="E141">
        <v>12</v>
      </c>
      <c r="F141">
        <v>1</v>
      </c>
      <c r="G141" t="s">
        <v>181</v>
      </c>
      <c r="H141">
        <v>1</v>
      </c>
    </row>
    <row r="142" spans="1:8" x14ac:dyDescent="0.25">
      <c r="A142" t="s">
        <v>183</v>
      </c>
      <c r="B142">
        <v>5</v>
      </c>
      <c r="C142">
        <v>3</v>
      </c>
      <c r="D142" t="s">
        <v>134</v>
      </c>
      <c r="E142">
        <v>13</v>
      </c>
      <c r="F142">
        <v>0</v>
      </c>
      <c r="G142" t="s">
        <v>181</v>
      </c>
      <c r="H142">
        <v>1</v>
      </c>
    </row>
    <row r="143" spans="1:8" x14ac:dyDescent="0.25">
      <c r="A143" t="s">
        <v>183</v>
      </c>
      <c r="B143">
        <v>5</v>
      </c>
      <c r="C143">
        <v>3</v>
      </c>
      <c r="D143" t="s">
        <v>135</v>
      </c>
      <c r="E143">
        <v>11</v>
      </c>
      <c r="F143">
        <v>0</v>
      </c>
      <c r="G143">
        <v>152</v>
      </c>
      <c r="H143">
        <v>1</v>
      </c>
    </row>
    <row r="144" spans="1:8" x14ac:dyDescent="0.25">
      <c r="A144" t="s">
        <v>183</v>
      </c>
      <c r="B144">
        <v>5</v>
      </c>
      <c r="C144">
        <v>3</v>
      </c>
      <c r="D144" t="s">
        <v>136</v>
      </c>
      <c r="E144">
        <v>11</v>
      </c>
      <c r="F144">
        <v>0</v>
      </c>
      <c r="G144" t="s">
        <v>181</v>
      </c>
      <c r="H144">
        <v>1</v>
      </c>
    </row>
    <row r="145" spans="1:8" x14ac:dyDescent="0.25">
      <c r="A145" t="s">
        <v>183</v>
      </c>
      <c r="B145">
        <v>5</v>
      </c>
      <c r="C145">
        <v>3</v>
      </c>
      <c r="D145" t="s">
        <v>138</v>
      </c>
      <c r="E145">
        <v>12</v>
      </c>
      <c r="F145">
        <v>1</v>
      </c>
      <c r="G145" t="s">
        <v>181</v>
      </c>
      <c r="H145">
        <v>1</v>
      </c>
    </row>
    <row r="146" spans="1:8" x14ac:dyDescent="0.25">
      <c r="A146" t="s">
        <v>183</v>
      </c>
      <c r="B146">
        <v>5</v>
      </c>
      <c r="C146">
        <v>3</v>
      </c>
      <c r="D146" t="s">
        <v>137</v>
      </c>
      <c r="E146">
        <v>12</v>
      </c>
      <c r="F146">
        <v>1</v>
      </c>
      <c r="G146" t="s">
        <v>181</v>
      </c>
      <c r="H146">
        <v>1</v>
      </c>
    </row>
    <row r="147" spans="1:8" x14ac:dyDescent="0.25">
      <c r="A147" t="s">
        <v>180</v>
      </c>
      <c r="B147">
        <v>1</v>
      </c>
      <c r="C147">
        <v>1</v>
      </c>
      <c r="D147" t="s">
        <v>0</v>
      </c>
      <c r="E147">
        <v>9</v>
      </c>
      <c r="F147">
        <v>0</v>
      </c>
      <c r="G147">
        <v>3</v>
      </c>
      <c r="H147">
        <v>2</v>
      </c>
    </row>
    <row r="148" spans="1:8" x14ac:dyDescent="0.25">
      <c r="A148" t="s">
        <v>180</v>
      </c>
      <c r="B148">
        <v>1</v>
      </c>
      <c r="C148">
        <v>1</v>
      </c>
      <c r="D148" t="s">
        <v>1</v>
      </c>
      <c r="E148">
        <v>7</v>
      </c>
      <c r="F148">
        <v>1</v>
      </c>
      <c r="G148">
        <v>4</v>
      </c>
      <c r="H148">
        <v>2</v>
      </c>
    </row>
    <row r="149" spans="1:8" x14ac:dyDescent="0.25">
      <c r="A149" t="s">
        <v>180</v>
      </c>
      <c r="B149">
        <v>1</v>
      </c>
      <c r="C149">
        <v>1</v>
      </c>
      <c r="D149" t="s">
        <v>2</v>
      </c>
      <c r="E149">
        <v>4</v>
      </c>
      <c r="F149">
        <v>1</v>
      </c>
      <c r="G149">
        <v>2</v>
      </c>
      <c r="H149">
        <v>2</v>
      </c>
    </row>
    <row r="150" spans="1:8" x14ac:dyDescent="0.25">
      <c r="A150" t="s">
        <v>180</v>
      </c>
      <c r="B150">
        <v>1</v>
      </c>
      <c r="C150">
        <v>1</v>
      </c>
      <c r="D150" t="s">
        <v>3</v>
      </c>
      <c r="E150">
        <v>1</v>
      </c>
      <c r="F150">
        <v>1</v>
      </c>
      <c r="G150" t="s">
        <v>181</v>
      </c>
      <c r="H150">
        <v>2</v>
      </c>
    </row>
    <row r="151" spans="1:8" x14ac:dyDescent="0.25">
      <c r="A151" t="s">
        <v>180</v>
      </c>
      <c r="B151">
        <v>1</v>
      </c>
      <c r="C151">
        <v>1</v>
      </c>
      <c r="D151" t="s">
        <v>36</v>
      </c>
      <c r="E151">
        <v>1</v>
      </c>
      <c r="F151">
        <v>0</v>
      </c>
      <c r="G151" t="s">
        <v>181</v>
      </c>
      <c r="H151">
        <v>2</v>
      </c>
    </row>
    <row r="152" spans="1:8" x14ac:dyDescent="0.25">
      <c r="A152" t="s">
        <v>180</v>
      </c>
      <c r="B152">
        <v>1</v>
      </c>
      <c r="C152">
        <v>1</v>
      </c>
      <c r="D152" t="s">
        <v>37</v>
      </c>
      <c r="E152">
        <v>1</v>
      </c>
      <c r="F152">
        <v>0</v>
      </c>
      <c r="G152" t="s">
        <v>181</v>
      </c>
      <c r="H152">
        <v>2</v>
      </c>
    </row>
    <row r="153" spans="1:8" x14ac:dyDescent="0.25">
      <c r="A153" t="s">
        <v>180</v>
      </c>
      <c r="B153">
        <v>1</v>
      </c>
      <c r="C153">
        <v>1</v>
      </c>
      <c r="D153" t="s">
        <v>38</v>
      </c>
      <c r="E153">
        <v>1</v>
      </c>
      <c r="F153">
        <v>0</v>
      </c>
      <c r="G153" t="s">
        <v>181</v>
      </c>
      <c r="H153">
        <v>2</v>
      </c>
    </row>
    <row r="154" spans="1:8" x14ac:dyDescent="0.25">
      <c r="A154" t="s">
        <v>180</v>
      </c>
      <c r="B154">
        <v>1</v>
      </c>
      <c r="C154">
        <v>1</v>
      </c>
      <c r="D154" t="s">
        <v>4</v>
      </c>
      <c r="E154">
        <v>0.75</v>
      </c>
      <c r="F154">
        <v>1</v>
      </c>
      <c r="G154" t="s">
        <v>181</v>
      </c>
      <c r="H154">
        <v>2</v>
      </c>
    </row>
    <row r="155" spans="1:8" x14ac:dyDescent="0.25">
      <c r="A155" t="s">
        <v>180</v>
      </c>
      <c r="B155">
        <v>1</v>
      </c>
      <c r="C155">
        <v>1</v>
      </c>
      <c r="D155" t="s">
        <v>5</v>
      </c>
      <c r="E155">
        <v>0.75</v>
      </c>
      <c r="F155">
        <v>1</v>
      </c>
      <c r="G155">
        <v>7</v>
      </c>
      <c r="H155">
        <v>2</v>
      </c>
    </row>
    <row r="156" spans="1:8" x14ac:dyDescent="0.25">
      <c r="A156" t="s">
        <v>180</v>
      </c>
      <c r="B156">
        <v>1</v>
      </c>
      <c r="C156">
        <v>1</v>
      </c>
      <c r="D156" t="s">
        <v>6</v>
      </c>
      <c r="E156">
        <v>0.75</v>
      </c>
      <c r="F156">
        <v>0</v>
      </c>
      <c r="G156" t="s">
        <v>181</v>
      </c>
      <c r="H156">
        <v>2</v>
      </c>
    </row>
    <row r="157" spans="1:8" x14ac:dyDescent="0.25">
      <c r="A157" t="s">
        <v>180</v>
      </c>
      <c r="B157">
        <v>1</v>
      </c>
      <c r="C157">
        <v>1</v>
      </c>
      <c r="D157" t="s">
        <v>39</v>
      </c>
      <c r="E157">
        <v>0.75</v>
      </c>
      <c r="F157">
        <v>1</v>
      </c>
      <c r="G157" t="s">
        <v>181</v>
      </c>
      <c r="H157">
        <v>2</v>
      </c>
    </row>
    <row r="158" spans="1:8" x14ac:dyDescent="0.25">
      <c r="A158" t="s">
        <v>180</v>
      </c>
      <c r="B158">
        <v>1</v>
      </c>
      <c r="C158">
        <v>1</v>
      </c>
      <c r="D158" t="s">
        <v>7</v>
      </c>
      <c r="E158">
        <v>0.75</v>
      </c>
      <c r="F158">
        <v>0</v>
      </c>
      <c r="G158" t="s">
        <v>181</v>
      </c>
      <c r="H158">
        <v>2</v>
      </c>
    </row>
    <row r="159" spans="1:8" x14ac:dyDescent="0.25">
      <c r="A159" t="s">
        <v>180</v>
      </c>
      <c r="B159">
        <v>2</v>
      </c>
      <c r="C159">
        <v>5</v>
      </c>
      <c r="D159" t="s">
        <v>0</v>
      </c>
      <c r="E159">
        <v>9</v>
      </c>
      <c r="F159">
        <v>0</v>
      </c>
      <c r="G159">
        <v>9</v>
      </c>
      <c r="H159">
        <v>2</v>
      </c>
    </row>
    <row r="160" spans="1:8" x14ac:dyDescent="0.25">
      <c r="A160" t="s">
        <v>180</v>
      </c>
      <c r="B160">
        <v>2</v>
      </c>
      <c r="C160">
        <v>5</v>
      </c>
      <c r="D160" t="s">
        <v>1</v>
      </c>
      <c r="E160">
        <v>7</v>
      </c>
      <c r="F160">
        <v>1</v>
      </c>
      <c r="G160">
        <v>35</v>
      </c>
      <c r="H160">
        <v>2</v>
      </c>
    </row>
    <row r="161" spans="1:8" x14ac:dyDescent="0.25">
      <c r="A161" t="s">
        <v>180</v>
      </c>
      <c r="B161">
        <v>2</v>
      </c>
      <c r="C161">
        <v>5</v>
      </c>
      <c r="D161" t="s">
        <v>2</v>
      </c>
      <c r="E161">
        <v>4</v>
      </c>
      <c r="F161">
        <v>1</v>
      </c>
      <c r="G161">
        <v>4</v>
      </c>
      <c r="H161">
        <v>2</v>
      </c>
    </row>
    <row r="162" spans="1:8" x14ac:dyDescent="0.25">
      <c r="A162" t="s">
        <v>180</v>
      </c>
      <c r="B162">
        <v>2</v>
      </c>
      <c r="C162">
        <v>5</v>
      </c>
      <c r="D162" t="s">
        <v>3</v>
      </c>
      <c r="E162">
        <v>1</v>
      </c>
      <c r="F162">
        <v>1</v>
      </c>
      <c r="G162">
        <v>84</v>
      </c>
      <c r="H162">
        <v>2</v>
      </c>
    </row>
    <row r="163" spans="1:8" x14ac:dyDescent="0.25">
      <c r="A163" t="s">
        <v>180</v>
      </c>
      <c r="B163">
        <v>2</v>
      </c>
      <c r="C163">
        <v>5</v>
      </c>
      <c r="D163" t="s">
        <v>36</v>
      </c>
      <c r="E163">
        <v>1</v>
      </c>
      <c r="F163">
        <v>0</v>
      </c>
      <c r="G163" t="s">
        <v>181</v>
      </c>
      <c r="H163">
        <v>2</v>
      </c>
    </row>
    <row r="164" spans="1:8" x14ac:dyDescent="0.25">
      <c r="A164" t="s">
        <v>180</v>
      </c>
      <c r="B164">
        <v>2</v>
      </c>
      <c r="C164">
        <v>5</v>
      </c>
      <c r="D164" t="s">
        <v>37</v>
      </c>
      <c r="E164">
        <v>1</v>
      </c>
      <c r="F164">
        <v>0</v>
      </c>
      <c r="G164" t="s">
        <v>181</v>
      </c>
      <c r="H164">
        <v>2</v>
      </c>
    </row>
    <row r="165" spans="1:8" x14ac:dyDescent="0.25">
      <c r="A165" t="s">
        <v>180</v>
      </c>
      <c r="B165">
        <v>2</v>
      </c>
      <c r="C165">
        <v>5</v>
      </c>
      <c r="D165" t="s">
        <v>38</v>
      </c>
      <c r="E165">
        <v>1</v>
      </c>
      <c r="F165">
        <v>0</v>
      </c>
      <c r="G165" t="s">
        <v>181</v>
      </c>
      <c r="H165">
        <v>2</v>
      </c>
    </row>
    <row r="166" spans="1:8" x14ac:dyDescent="0.25">
      <c r="A166" t="s">
        <v>180</v>
      </c>
      <c r="B166">
        <v>2</v>
      </c>
      <c r="C166">
        <v>5</v>
      </c>
      <c r="D166" t="s">
        <v>4</v>
      </c>
      <c r="E166">
        <v>0.75</v>
      </c>
      <c r="F166">
        <v>1</v>
      </c>
      <c r="G166" t="s">
        <v>181</v>
      </c>
      <c r="H166">
        <v>2</v>
      </c>
    </row>
    <row r="167" spans="1:8" x14ac:dyDescent="0.25">
      <c r="A167" t="s">
        <v>180</v>
      </c>
      <c r="B167">
        <v>2</v>
      </c>
      <c r="C167">
        <v>5</v>
      </c>
      <c r="D167" t="s">
        <v>5</v>
      </c>
      <c r="E167">
        <v>0.75</v>
      </c>
      <c r="F167">
        <v>1</v>
      </c>
      <c r="G167">
        <v>29</v>
      </c>
      <c r="H167">
        <v>2</v>
      </c>
    </row>
    <row r="168" spans="1:8" x14ac:dyDescent="0.25">
      <c r="A168" t="s">
        <v>180</v>
      </c>
      <c r="B168">
        <v>2</v>
      </c>
      <c r="C168">
        <v>5</v>
      </c>
      <c r="D168" t="s">
        <v>6</v>
      </c>
      <c r="E168">
        <v>0.75</v>
      </c>
      <c r="F168">
        <v>0</v>
      </c>
      <c r="G168" t="s">
        <v>181</v>
      </c>
      <c r="H168">
        <v>2</v>
      </c>
    </row>
    <row r="169" spans="1:8" x14ac:dyDescent="0.25">
      <c r="A169" t="s">
        <v>180</v>
      </c>
      <c r="B169">
        <v>2</v>
      </c>
      <c r="C169">
        <v>5</v>
      </c>
      <c r="D169" t="s">
        <v>39</v>
      </c>
      <c r="E169">
        <v>0.75</v>
      </c>
      <c r="F169">
        <v>1</v>
      </c>
      <c r="G169" t="s">
        <v>181</v>
      </c>
      <c r="H169">
        <v>2</v>
      </c>
    </row>
    <row r="170" spans="1:8" x14ac:dyDescent="0.25">
      <c r="A170" t="s">
        <v>180</v>
      </c>
      <c r="B170">
        <v>2</v>
      </c>
      <c r="C170">
        <v>5</v>
      </c>
      <c r="D170" t="s">
        <v>7</v>
      </c>
      <c r="E170">
        <v>0.75</v>
      </c>
      <c r="F170">
        <v>0</v>
      </c>
      <c r="G170" t="s">
        <v>181</v>
      </c>
      <c r="H170">
        <v>2</v>
      </c>
    </row>
    <row r="171" spans="1:8" x14ac:dyDescent="0.25">
      <c r="A171" t="s">
        <v>180</v>
      </c>
      <c r="B171">
        <v>3</v>
      </c>
      <c r="C171">
        <v>3</v>
      </c>
      <c r="D171" t="s">
        <v>0</v>
      </c>
      <c r="E171">
        <v>9</v>
      </c>
      <c r="F171">
        <v>0</v>
      </c>
      <c r="G171">
        <v>38</v>
      </c>
      <c r="H171">
        <v>2</v>
      </c>
    </row>
    <row r="172" spans="1:8" x14ac:dyDescent="0.25">
      <c r="A172" t="s">
        <v>180</v>
      </c>
      <c r="B172">
        <v>3</v>
      </c>
      <c r="C172">
        <v>3</v>
      </c>
      <c r="D172" t="s">
        <v>1</v>
      </c>
      <c r="E172">
        <v>7</v>
      </c>
      <c r="F172">
        <v>1</v>
      </c>
      <c r="G172">
        <v>2</v>
      </c>
      <c r="H172">
        <v>2</v>
      </c>
    </row>
    <row r="173" spans="1:8" x14ac:dyDescent="0.25">
      <c r="A173" t="s">
        <v>180</v>
      </c>
      <c r="B173">
        <v>3</v>
      </c>
      <c r="C173">
        <v>3</v>
      </c>
      <c r="D173" t="s">
        <v>2</v>
      </c>
      <c r="E173">
        <v>4</v>
      </c>
      <c r="F173">
        <v>1</v>
      </c>
      <c r="G173" t="s">
        <v>181</v>
      </c>
      <c r="H173">
        <v>2</v>
      </c>
    </row>
    <row r="174" spans="1:8" x14ac:dyDescent="0.25">
      <c r="A174" t="s">
        <v>180</v>
      </c>
      <c r="B174">
        <v>3</v>
      </c>
      <c r="C174">
        <v>3</v>
      </c>
      <c r="D174" t="s">
        <v>3</v>
      </c>
      <c r="E174">
        <v>1</v>
      </c>
      <c r="F174">
        <v>1</v>
      </c>
      <c r="G174">
        <v>206</v>
      </c>
      <c r="H174">
        <v>2</v>
      </c>
    </row>
    <row r="175" spans="1:8" x14ac:dyDescent="0.25">
      <c r="A175" t="s">
        <v>180</v>
      </c>
      <c r="B175">
        <v>3</v>
      </c>
      <c r="C175">
        <v>3</v>
      </c>
      <c r="D175" t="s">
        <v>36</v>
      </c>
      <c r="E175">
        <v>1</v>
      </c>
      <c r="F175">
        <v>0</v>
      </c>
      <c r="G175" t="s">
        <v>181</v>
      </c>
      <c r="H175">
        <v>2</v>
      </c>
    </row>
    <row r="176" spans="1:8" x14ac:dyDescent="0.25">
      <c r="A176" t="s">
        <v>180</v>
      </c>
      <c r="B176">
        <v>3</v>
      </c>
      <c r="C176">
        <v>3</v>
      </c>
      <c r="D176" t="s">
        <v>37</v>
      </c>
      <c r="E176">
        <v>1</v>
      </c>
      <c r="F176">
        <v>0</v>
      </c>
      <c r="G176" t="s">
        <v>181</v>
      </c>
      <c r="H176">
        <v>2</v>
      </c>
    </row>
    <row r="177" spans="1:8" x14ac:dyDescent="0.25">
      <c r="A177" t="s">
        <v>180</v>
      </c>
      <c r="B177">
        <v>3</v>
      </c>
      <c r="C177">
        <v>3</v>
      </c>
      <c r="D177" t="s">
        <v>38</v>
      </c>
      <c r="E177">
        <v>1</v>
      </c>
      <c r="F177">
        <v>0</v>
      </c>
      <c r="G177" t="s">
        <v>181</v>
      </c>
      <c r="H177">
        <v>2</v>
      </c>
    </row>
    <row r="178" spans="1:8" x14ac:dyDescent="0.25">
      <c r="A178" t="s">
        <v>180</v>
      </c>
      <c r="B178">
        <v>3</v>
      </c>
      <c r="C178">
        <v>3</v>
      </c>
      <c r="D178" t="s">
        <v>4</v>
      </c>
      <c r="E178">
        <v>0.75</v>
      </c>
      <c r="F178">
        <v>1</v>
      </c>
      <c r="G178" t="s">
        <v>181</v>
      </c>
      <c r="H178">
        <v>2</v>
      </c>
    </row>
    <row r="179" spans="1:8" x14ac:dyDescent="0.25">
      <c r="A179" t="s">
        <v>180</v>
      </c>
      <c r="B179">
        <v>3</v>
      </c>
      <c r="C179">
        <v>3</v>
      </c>
      <c r="D179" t="s">
        <v>5</v>
      </c>
      <c r="E179">
        <v>0.75</v>
      </c>
      <c r="F179">
        <v>1</v>
      </c>
      <c r="G179" t="s">
        <v>181</v>
      </c>
      <c r="H179">
        <v>2</v>
      </c>
    </row>
    <row r="180" spans="1:8" x14ac:dyDescent="0.25">
      <c r="A180" t="s">
        <v>180</v>
      </c>
      <c r="B180">
        <v>3</v>
      </c>
      <c r="C180">
        <v>3</v>
      </c>
      <c r="D180" t="s">
        <v>6</v>
      </c>
      <c r="E180">
        <v>0.75</v>
      </c>
      <c r="F180">
        <v>0</v>
      </c>
      <c r="G180" t="s">
        <v>181</v>
      </c>
      <c r="H180">
        <v>2</v>
      </c>
    </row>
    <row r="181" spans="1:8" x14ac:dyDescent="0.25">
      <c r="A181" t="s">
        <v>180</v>
      </c>
      <c r="B181">
        <v>3</v>
      </c>
      <c r="C181">
        <v>3</v>
      </c>
      <c r="D181" t="s">
        <v>39</v>
      </c>
      <c r="E181">
        <v>0.75</v>
      </c>
      <c r="F181">
        <v>1</v>
      </c>
      <c r="G181" t="s">
        <v>181</v>
      </c>
      <c r="H181">
        <v>2</v>
      </c>
    </row>
    <row r="182" spans="1:8" x14ac:dyDescent="0.25">
      <c r="A182" t="s">
        <v>180</v>
      </c>
      <c r="B182">
        <v>3</v>
      </c>
      <c r="C182">
        <v>3</v>
      </c>
      <c r="D182" t="s">
        <v>7</v>
      </c>
      <c r="E182">
        <v>0.75</v>
      </c>
      <c r="F182">
        <v>0</v>
      </c>
      <c r="G182" t="s">
        <v>181</v>
      </c>
      <c r="H182">
        <v>2</v>
      </c>
    </row>
    <row r="183" spans="1:8" x14ac:dyDescent="0.25">
      <c r="A183" t="s">
        <v>180</v>
      </c>
      <c r="B183">
        <v>4</v>
      </c>
      <c r="C183">
        <v>2</v>
      </c>
      <c r="D183" t="s">
        <v>0</v>
      </c>
      <c r="E183">
        <v>9</v>
      </c>
      <c r="F183">
        <v>0</v>
      </c>
      <c r="G183">
        <v>125</v>
      </c>
      <c r="H183">
        <v>2</v>
      </c>
    </row>
    <row r="184" spans="1:8" x14ac:dyDescent="0.25">
      <c r="A184" t="s">
        <v>180</v>
      </c>
      <c r="B184">
        <v>4</v>
      </c>
      <c r="C184">
        <v>2</v>
      </c>
      <c r="D184" t="s">
        <v>1</v>
      </c>
      <c r="E184">
        <v>7</v>
      </c>
      <c r="F184">
        <v>1</v>
      </c>
      <c r="G184">
        <v>47</v>
      </c>
      <c r="H184">
        <v>2</v>
      </c>
    </row>
    <row r="185" spans="1:8" x14ac:dyDescent="0.25">
      <c r="A185" t="s">
        <v>180</v>
      </c>
      <c r="B185">
        <v>4</v>
      </c>
      <c r="C185">
        <v>2</v>
      </c>
      <c r="D185" t="s">
        <v>2</v>
      </c>
      <c r="E185">
        <v>4</v>
      </c>
      <c r="F185">
        <v>1</v>
      </c>
      <c r="G185" t="s">
        <v>181</v>
      </c>
      <c r="H185">
        <v>2</v>
      </c>
    </row>
    <row r="186" spans="1:8" x14ac:dyDescent="0.25">
      <c r="A186" t="s">
        <v>180</v>
      </c>
      <c r="B186">
        <v>4</v>
      </c>
      <c r="C186">
        <v>2</v>
      </c>
      <c r="D186" t="s">
        <v>3</v>
      </c>
      <c r="E186">
        <v>1</v>
      </c>
      <c r="F186">
        <v>1</v>
      </c>
      <c r="G186">
        <v>431</v>
      </c>
      <c r="H186">
        <v>2</v>
      </c>
    </row>
    <row r="187" spans="1:8" x14ac:dyDescent="0.25">
      <c r="A187" t="s">
        <v>180</v>
      </c>
      <c r="B187">
        <v>4</v>
      </c>
      <c r="C187">
        <v>2</v>
      </c>
      <c r="D187" t="s">
        <v>36</v>
      </c>
      <c r="E187">
        <v>1</v>
      </c>
      <c r="F187">
        <v>0</v>
      </c>
      <c r="G187" t="s">
        <v>181</v>
      </c>
      <c r="H187">
        <v>2</v>
      </c>
    </row>
    <row r="188" spans="1:8" x14ac:dyDescent="0.25">
      <c r="A188" t="s">
        <v>180</v>
      </c>
      <c r="B188">
        <v>4</v>
      </c>
      <c r="C188">
        <v>2</v>
      </c>
      <c r="D188" t="s">
        <v>37</v>
      </c>
      <c r="E188">
        <v>1</v>
      </c>
      <c r="F188">
        <v>0</v>
      </c>
      <c r="G188" t="s">
        <v>181</v>
      </c>
      <c r="H188">
        <v>2</v>
      </c>
    </row>
    <row r="189" spans="1:8" x14ac:dyDescent="0.25">
      <c r="A189" t="s">
        <v>180</v>
      </c>
      <c r="B189">
        <v>4</v>
      </c>
      <c r="C189">
        <v>2</v>
      </c>
      <c r="D189" t="s">
        <v>38</v>
      </c>
      <c r="E189">
        <v>1</v>
      </c>
      <c r="F189">
        <v>0</v>
      </c>
      <c r="G189" t="s">
        <v>181</v>
      </c>
      <c r="H189">
        <v>2</v>
      </c>
    </row>
    <row r="190" spans="1:8" x14ac:dyDescent="0.25">
      <c r="A190" t="s">
        <v>180</v>
      </c>
      <c r="B190">
        <v>4</v>
      </c>
      <c r="C190">
        <v>2</v>
      </c>
      <c r="D190" t="s">
        <v>4</v>
      </c>
      <c r="E190">
        <v>0.75</v>
      </c>
      <c r="F190">
        <v>1</v>
      </c>
      <c r="G190" t="s">
        <v>181</v>
      </c>
      <c r="H190">
        <v>2</v>
      </c>
    </row>
    <row r="191" spans="1:8" x14ac:dyDescent="0.25">
      <c r="A191" t="s">
        <v>180</v>
      </c>
      <c r="B191">
        <v>4</v>
      </c>
      <c r="C191">
        <v>2</v>
      </c>
      <c r="D191" t="s">
        <v>5</v>
      </c>
      <c r="E191">
        <v>0.75</v>
      </c>
      <c r="F191">
        <v>1</v>
      </c>
      <c r="G191" t="s">
        <v>181</v>
      </c>
      <c r="H191">
        <v>2</v>
      </c>
    </row>
    <row r="192" spans="1:8" x14ac:dyDescent="0.25">
      <c r="A192" t="s">
        <v>180</v>
      </c>
      <c r="B192">
        <v>4</v>
      </c>
      <c r="C192">
        <v>2</v>
      </c>
      <c r="D192" t="s">
        <v>6</v>
      </c>
      <c r="E192">
        <v>0.75</v>
      </c>
      <c r="F192">
        <v>0</v>
      </c>
      <c r="G192" t="s">
        <v>181</v>
      </c>
      <c r="H192">
        <v>2</v>
      </c>
    </row>
    <row r="193" spans="1:8" x14ac:dyDescent="0.25">
      <c r="A193" t="s">
        <v>180</v>
      </c>
      <c r="B193">
        <v>4</v>
      </c>
      <c r="C193">
        <v>2</v>
      </c>
      <c r="D193" t="s">
        <v>39</v>
      </c>
      <c r="E193">
        <v>0.75</v>
      </c>
      <c r="F193">
        <v>1</v>
      </c>
      <c r="G193" t="s">
        <v>181</v>
      </c>
      <c r="H193">
        <v>2</v>
      </c>
    </row>
    <row r="194" spans="1:8" x14ac:dyDescent="0.25">
      <c r="A194" t="s">
        <v>180</v>
      </c>
      <c r="B194">
        <v>4</v>
      </c>
      <c r="C194">
        <v>2</v>
      </c>
      <c r="D194" t="s">
        <v>7</v>
      </c>
      <c r="E194">
        <v>0.75</v>
      </c>
      <c r="F194">
        <v>0</v>
      </c>
      <c r="G194" t="s">
        <v>181</v>
      </c>
      <c r="H194">
        <v>2</v>
      </c>
    </row>
    <row r="195" spans="1:8" x14ac:dyDescent="0.25">
      <c r="A195" t="s">
        <v>180</v>
      </c>
      <c r="B195">
        <v>5</v>
      </c>
      <c r="C195">
        <v>4</v>
      </c>
      <c r="D195" t="s">
        <v>0</v>
      </c>
      <c r="E195">
        <v>9</v>
      </c>
      <c r="F195">
        <v>0</v>
      </c>
      <c r="G195">
        <v>48</v>
      </c>
      <c r="H195">
        <v>2</v>
      </c>
    </row>
    <row r="196" spans="1:8" x14ac:dyDescent="0.25">
      <c r="A196" t="s">
        <v>180</v>
      </c>
      <c r="B196">
        <v>5</v>
      </c>
      <c r="C196">
        <v>4</v>
      </c>
      <c r="D196" t="s">
        <v>1</v>
      </c>
      <c r="E196">
        <v>7</v>
      </c>
      <c r="F196">
        <v>1</v>
      </c>
      <c r="G196">
        <v>75</v>
      </c>
      <c r="H196">
        <v>2</v>
      </c>
    </row>
    <row r="197" spans="1:8" x14ac:dyDescent="0.25">
      <c r="A197" t="s">
        <v>180</v>
      </c>
      <c r="B197">
        <v>5</v>
      </c>
      <c r="C197">
        <v>4</v>
      </c>
      <c r="D197" t="s">
        <v>2</v>
      </c>
      <c r="E197">
        <v>4</v>
      </c>
      <c r="F197">
        <v>1</v>
      </c>
      <c r="G197" t="s">
        <v>181</v>
      </c>
      <c r="H197">
        <v>2</v>
      </c>
    </row>
    <row r="198" spans="1:8" x14ac:dyDescent="0.25">
      <c r="A198" t="s">
        <v>180</v>
      </c>
      <c r="B198">
        <v>5</v>
      </c>
      <c r="C198">
        <v>4</v>
      </c>
      <c r="D198" t="s">
        <v>3</v>
      </c>
      <c r="E198">
        <v>1</v>
      </c>
      <c r="F198">
        <v>1</v>
      </c>
      <c r="G198">
        <v>95</v>
      </c>
      <c r="H198">
        <v>2</v>
      </c>
    </row>
    <row r="199" spans="1:8" x14ac:dyDescent="0.25">
      <c r="A199" t="s">
        <v>180</v>
      </c>
      <c r="B199">
        <v>5</v>
      </c>
      <c r="C199">
        <v>4</v>
      </c>
      <c r="D199" t="s">
        <v>36</v>
      </c>
      <c r="E199">
        <v>1</v>
      </c>
      <c r="F199">
        <v>0</v>
      </c>
      <c r="G199" t="s">
        <v>181</v>
      </c>
      <c r="H199">
        <v>2</v>
      </c>
    </row>
    <row r="200" spans="1:8" x14ac:dyDescent="0.25">
      <c r="A200" t="s">
        <v>180</v>
      </c>
      <c r="B200">
        <v>5</v>
      </c>
      <c r="C200">
        <v>4</v>
      </c>
      <c r="D200" t="s">
        <v>37</v>
      </c>
      <c r="E200">
        <v>1</v>
      </c>
      <c r="F200">
        <v>0</v>
      </c>
      <c r="G200" t="s">
        <v>181</v>
      </c>
      <c r="H200">
        <v>2</v>
      </c>
    </row>
    <row r="201" spans="1:8" x14ac:dyDescent="0.25">
      <c r="A201" t="s">
        <v>180</v>
      </c>
      <c r="B201">
        <v>5</v>
      </c>
      <c r="C201">
        <v>4</v>
      </c>
      <c r="D201" t="s">
        <v>38</v>
      </c>
      <c r="E201">
        <v>1</v>
      </c>
      <c r="F201">
        <v>0</v>
      </c>
      <c r="G201" t="s">
        <v>181</v>
      </c>
      <c r="H201">
        <v>2</v>
      </c>
    </row>
    <row r="202" spans="1:8" x14ac:dyDescent="0.25">
      <c r="A202" t="s">
        <v>180</v>
      </c>
      <c r="B202">
        <v>5</v>
      </c>
      <c r="C202">
        <v>4</v>
      </c>
      <c r="D202" t="s">
        <v>4</v>
      </c>
      <c r="E202">
        <v>0.75</v>
      </c>
      <c r="F202">
        <v>1</v>
      </c>
      <c r="G202" t="s">
        <v>181</v>
      </c>
      <c r="H202">
        <v>2</v>
      </c>
    </row>
    <row r="203" spans="1:8" x14ac:dyDescent="0.25">
      <c r="A203" t="s">
        <v>180</v>
      </c>
      <c r="B203">
        <v>5</v>
      </c>
      <c r="C203">
        <v>4</v>
      </c>
      <c r="D203" t="s">
        <v>5</v>
      </c>
      <c r="E203">
        <v>0.75</v>
      </c>
      <c r="F203">
        <v>1</v>
      </c>
      <c r="G203">
        <v>269</v>
      </c>
      <c r="H203">
        <v>2</v>
      </c>
    </row>
    <row r="204" spans="1:8" x14ac:dyDescent="0.25">
      <c r="A204" t="s">
        <v>180</v>
      </c>
      <c r="B204">
        <v>5</v>
      </c>
      <c r="C204">
        <v>4</v>
      </c>
      <c r="D204" t="s">
        <v>6</v>
      </c>
      <c r="E204">
        <v>0.75</v>
      </c>
      <c r="F204">
        <v>0</v>
      </c>
      <c r="G204" t="s">
        <v>181</v>
      </c>
      <c r="H204">
        <v>2</v>
      </c>
    </row>
    <row r="205" spans="1:8" x14ac:dyDescent="0.25">
      <c r="A205" t="s">
        <v>180</v>
      </c>
      <c r="B205">
        <v>5</v>
      </c>
      <c r="C205">
        <v>4</v>
      </c>
      <c r="D205" t="s">
        <v>39</v>
      </c>
      <c r="E205">
        <v>0.75</v>
      </c>
      <c r="F205">
        <v>1</v>
      </c>
      <c r="G205" t="s">
        <v>181</v>
      </c>
      <c r="H205">
        <v>2</v>
      </c>
    </row>
    <row r="206" spans="1:8" x14ac:dyDescent="0.25">
      <c r="A206" t="s">
        <v>180</v>
      </c>
      <c r="B206">
        <v>5</v>
      </c>
      <c r="C206">
        <v>4</v>
      </c>
      <c r="D206" t="s">
        <v>7</v>
      </c>
      <c r="E206">
        <v>0.75</v>
      </c>
      <c r="F206">
        <v>0</v>
      </c>
      <c r="G206" t="s">
        <v>181</v>
      </c>
      <c r="H206">
        <v>2</v>
      </c>
    </row>
    <row r="207" spans="1:8" x14ac:dyDescent="0.25">
      <c r="A207" t="s">
        <v>182</v>
      </c>
      <c r="B207">
        <v>1</v>
      </c>
      <c r="C207">
        <v>1</v>
      </c>
      <c r="D207" t="s">
        <v>77</v>
      </c>
      <c r="E207">
        <v>10</v>
      </c>
      <c r="F207">
        <v>1</v>
      </c>
      <c r="G207">
        <v>3</v>
      </c>
      <c r="H207">
        <v>2</v>
      </c>
    </row>
    <row r="208" spans="1:8" x14ac:dyDescent="0.25">
      <c r="A208" t="s">
        <v>182</v>
      </c>
      <c r="B208">
        <v>1</v>
      </c>
      <c r="C208">
        <v>1</v>
      </c>
      <c r="D208" t="s">
        <v>78</v>
      </c>
      <c r="E208">
        <v>9</v>
      </c>
      <c r="F208">
        <v>0</v>
      </c>
      <c r="G208" t="s">
        <v>181</v>
      </c>
      <c r="H208">
        <v>2</v>
      </c>
    </row>
    <row r="209" spans="1:8" x14ac:dyDescent="0.25">
      <c r="A209" t="s">
        <v>182</v>
      </c>
      <c r="B209">
        <v>1</v>
      </c>
      <c r="C209">
        <v>1</v>
      </c>
      <c r="D209" t="s">
        <v>79</v>
      </c>
      <c r="E209">
        <v>5</v>
      </c>
      <c r="F209">
        <v>1</v>
      </c>
      <c r="G209">
        <v>3</v>
      </c>
      <c r="H209">
        <v>2</v>
      </c>
    </row>
    <row r="210" spans="1:8" x14ac:dyDescent="0.25">
      <c r="A210" t="s">
        <v>182</v>
      </c>
      <c r="B210">
        <v>1</v>
      </c>
      <c r="C210">
        <v>1</v>
      </c>
      <c r="D210" t="s">
        <v>80</v>
      </c>
      <c r="E210">
        <v>5</v>
      </c>
      <c r="F210">
        <v>0</v>
      </c>
      <c r="G210">
        <v>5</v>
      </c>
      <c r="H210">
        <v>2</v>
      </c>
    </row>
    <row r="211" spans="1:8" x14ac:dyDescent="0.25">
      <c r="A211" t="s">
        <v>182</v>
      </c>
      <c r="B211">
        <v>1</v>
      </c>
      <c r="C211">
        <v>1</v>
      </c>
      <c r="D211" t="s">
        <v>81</v>
      </c>
      <c r="E211">
        <v>4</v>
      </c>
      <c r="F211">
        <v>0</v>
      </c>
      <c r="G211" t="s">
        <v>181</v>
      </c>
      <c r="H211">
        <v>2</v>
      </c>
    </row>
    <row r="212" spans="1:8" x14ac:dyDescent="0.25">
      <c r="A212" t="s">
        <v>182</v>
      </c>
      <c r="B212">
        <v>1</v>
      </c>
      <c r="C212">
        <v>1</v>
      </c>
      <c r="D212" t="s">
        <v>82</v>
      </c>
      <c r="E212">
        <v>4</v>
      </c>
      <c r="F212">
        <v>0</v>
      </c>
      <c r="G212">
        <v>4</v>
      </c>
      <c r="H212">
        <v>2</v>
      </c>
    </row>
    <row r="213" spans="1:8" x14ac:dyDescent="0.25">
      <c r="A213" t="s">
        <v>182</v>
      </c>
      <c r="B213">
        <v>1</v>
      </c>
      <c r="C213">
        <v>1</v>
      </c>
      <c r="D213" t="s">
        <v>83</v>
      </c>
      <c r="E213">
        <v>1</v>
      </c>
      <c r="F213">
        <v>1</v>
      </c>
      <c r="G213" t="s">
        <v>181</v>
      </c>
      <c r="H213">
        <v>2</v>
      </c>
    </row>
    <row r="214" spans="1:8" x14ac:dyDescent="0.25">
      <c r="A214" t="s">
        <v>182</v>
      </c>
      <c r="B214">
        <v>1</v>
      </c>
      <c r="C214">
        <v>1</v>
      </c>
      <c r="D214" t="s">
        <v>84</v>
      </c>
      <c r="E214">
        <v>1</v>
      </c>
      <c r="F214">
        <v>1</v>
      </c>
      <c r="G214" t="s">
        <v>181</v>
      </c>
      <c r="H214">
        <v>2</v>
      </c>
    </row>
    <row r="215" spans="1:8" x14ac:dyDescent="0.25">
      <c r="A215" t="s">
        <v>182</v>
      </c>
      <c r="B215">
        <v>1</v>
      </c>
      <c r="C215">
        <v>1</v>
      </c>
      <c r="D215" t="s">
        <v>85</v>
      </c>
      <c r="E215">
        <v>1</v>
      </c>
      <c r="F215">
        <v>0</v>
      </c>
      <c r="G215">
        <v>3</v>
      </c>
      <c r="H215">
        <v>2</v>
      </c>
    </row>
    <row r="216" spans="1:8" x14ac:dyDescent="0.25">
      <c r="A216" t="s">
        <v>182</v>
      </c>
      <c r="B216">
        <v>1</v>
      </c>
      <c r="C216">
        <v>1</v>
      </c>
      <c r="D216" t="s">
        <v>86</v>
      </c>
      <c r="E216">
        <v>1</v>
      </c>
      <c r="F216">
        <v>0</v>
      </c>
      <c r="G216" t="s">
        <v>181</v>
      </c>
      <c r="H216">
        <v>2</v>
      </c>
    </row>
    <row r="217" spans="1:8" x14ac:dyDescent="0.25">
      <c r="A217" t="s">
        <v>182</v>
      </c>
      <c r="B217">
        <v>1</v>
      </c>
      <c r="C217">
        <v>1</v>
      </c>
      <c r="D217" t="s">
        <v>87</v>
      </c>
      <c r="E217">
        <v>0.75</v>
      </c>
      <c r="F217">
        <v>1</v>
      </c>
      <c r="G217" t="s">
        <v>181</v>
      </c>
      <c r="H217">
        <v>2</v>
      </c>
    </row>
    <row r="218" spans="1:8" x14ac:dyDescent="0.25">
      <c r="A218" t="s">
        <v>182</v>
      </c>
      <c r="B218">
        <v>1</v>
      </c>
      <c r="C218">
        <v>1</v>
      </c>
      <c r="D218" t="s">
        <v>88</v>
      </c>
      <c r="E218">
        <v>0.75</v>
      </c>
      <c r="F218">
        <v>0</v>
      </c>
      <c r="G218" t="s">
        <v>181</v>
      </c>
      <c r="H218">
        <v>2</v>
      </c>
    </row>
    <row r="219" spans="1:8" x14ac:dyDescent="0.25">
      <c r="A219" t="s">
        <v>182</v>
      </c>
      <c r="B219">
        <v>2</v>
      </c>
      <c r="C219">
        <v>2</v>
      </c>
      <c r="D219" t="s">
        <v>77</v>
      </c>
      <c r="E219">
        <v>10</v>
      </c>
      <c r="F219">
        <v>1</v>
      </c>
      <c r="G219">
        <v>6</v>
      </c>
      <c r="H219">
        <v>2</v>
      </c>
    </row>
    <row r="220" spans="1:8" x14ac:dyDescent="0.25">
      <c r="A220" t="s">
        <v>182</v>
      </c>
      <c r="B220">
        <v>2</v>
      </c>
      <c r="C220">
        <v>2</v>
      </c>
      <c r="D220" t="s">
        <v>78</v>
      </c>
      <c r="E220">
        <v>9</v>
      </c>
      <c r="F220">
        <v>0</v>
      </c>
      <c r="G220" t="s">
        <v>181</v>
      </c>
      <c r="H220">
        <v>2</v>
      </c>
    </row>
    <row r="221" spans="1:8" x14ac:dyDescent="0.25">
      <c r="A221" t="s">
        <v>182</v>
      </c>
      <c r="B221">
        <v>2</v>
      </c>
      <c r="C221">
        <v>2</v>
      </c>
      <c r="D221" t="s">
        <v>79</v>
      </c>
      <c r="E221">
        <v>5</v>
      </c>
      <c r="F221">
        <v>1</v>
      </c>
      <c r="G221">
        <v>4</v>
      </c>
      <c r="H221">
        <v>2</v>
      </c>
    </row>
    <row r="222" spans="1:8" x14ac:dyDescent="0.25">
      <c r="A222" t="s">
        <v>182</v>
      </c>
      <c r="B222">
        <v>2</v>
      </c>
      <c r="C222">
        <v>2</v>
      </c>
      <c r="D222" t="s">
        <v>80</v>
      </c>
      <c r="E222">
        <v>5</v>
      </c>
      <c r="F222">
        <v>0</v>
      </c>
      <c r="G222">
        <v>5</v>
      </c>
      <c r="H222">
        <v>2</v>
      </c>
    </row>
    <row r="223" spans="1:8" x14ac:dyDescent="0.25">
      <c r="A223" t="s">
        <v>182</v>
      </c>
      <c r="B223">
        <v>2</v>
      </c>
      <c r="C223">
        <v>2</v>
      </c>
      <c r="D223" t="s">
        <v>81</v>
      </c>
      <c r="E223">
        <v>4</v>
      </c>
      <c r="F223">
        <v>0</v>
      </c>
      <c r="G223">
        <v>6</v>
      </c>
      <c r="H223">
        <v>2</v>
      </c>
    </row>
    <row r="224" spans="1:8" x14ac:dyDescent="0.25">
      <c r="A224" t="s">
        <v>182</v>
      </c>
      <c r="B224">
        <v>2</v>
      </c>
      <c r="C224">
        <v>2</v>
      </c>
      <c r="D224" t="s">
        <v>82</v>
      </c>
      <c r="E224">
        <v>4</v>
      </c>
      <c r="F224">
        <v>0</v>
      </c>
      <c r="G224">
        <v>37</v>
      </c>
      <c r="H224">
        <v>2</v>
      </c>
    </row>
    <row r="225" spans="1:8" x14ac:dyDescent="0.25">
      <c r="A225" t="s">
        <v>182</v>
      </c>
      <c r="B225">
        <v>2</v>
      </c>
      <c r="C225">
        <v>2</v>
      </c>
      <c r="D225" t="s">
        <v>83</v>
      </c>
      <c r="E225">
        <v>1</v>
      </c>
      <c r="F225">
        <v>1</v>
      </c>
      <c r="G225">
        <v>8</v>
      </c>
      <c r="H225">
        <v>2</v>
      </c>
    </row>
    <row r="226" spans="1:8" x14ac:dyDescent="0.25">
      <c r="A226" t="s">
        <v>182</v>
      </c>
      <c r="B226">
        <v>2</v>
      </c>
      <c r="C226">
        <v>2</v>
      </c>
      <c r="D226" t="s">
        <v>84</v>
      </c>
      <c r="E226">
        <v>1</v>
      </c>
      <c r="F226">
        <v>1</v>
      </c>
      <c r="G226" t="s">
        <v>181</v>
      </c>
      <c r="H226">
        <v>2</v>
      </c>
    </row>
    <row r="227" spans="1:8" x14ac:dyDescent="0.25">
      <c r="A227" t="s">
        <v>182</v>
      </c>
      <c r="B227">
        <v>2</v>
      </c>
      <c r="C227">
        <v>2</v>
      </c>
      <c r="D227" t="s">
        <v>85</v>
      </c>
      <c r="E227">
        <v>1</v>
      </c>
      <c r="F227">
        <v>0</v>
      </c>
      <c r="G227">
        <v>7</v>
      </c>
      <c r="H227">
        <v>2</v>
      </c>
    </row>
    <row r="228" spans="1:8" x14ac:dyDescent="0.25">
      <c r="A228" t="s">
        <v>182</v>
      </c>
      <c r="B228">
        <v>2</v>
      </c>
      <c r="C228">
        <v>2</v>
      </c>
      <c r="D228" t="s">
        <v>86</v>
      </c>
      <c r="E228">
        <v>1</v>
      </c>
      <c r="F228">
        <v>0</v>
      </c>
      <c r="G228" t="s">
        <v>181</v>
      </c>
      <c r="H228">
        <v>2</v>
      </c>
    </row>
    <row r="229" spans="1:8" x14ac:dyDescent="0.25">
      <c r="A229" t="s">
        <v>182</v>
      </c>
      <c r="B229">
        <v>2</v>
      </c>
      <c r="C229">
        <v>2</v>
      </c>
      <c r="D229" t="s">
        <v>87</v>
      </c>
      <c r="E229">
        <v>0.75</v>
      </c>
      <c r="F229">
        <v>1</v>
      </c>
      <c r="G229" t="s">
        <v>181</v>
      </c>
      <c r="H229">
        <v>2</v>
      </c>
    </row>
    <row r="230" spans="1:8" x14ac:dyDescent="0.25">
      <c r="A230" t="s">
        <v>182</v>
      </c>
      <c r="B230">
        <v>2</v>
      </c>
      <c r="C230">
        <v>2</v>
      </c>
      <c r="D230" t="s">
        <v>88</v>
      </c>
      <c r="E230">
        <v>0.75</v>
      </c>
      <c r="F230">
        <v>0</v>
      </c>
      <c r="G230" t="s">
        <v>181</v>
      </c>
      <c r="H230">
        <v>2</v>
      </c>
    </row>
    <row r="231" spans="1:8" x14ac:dyDescent="0.25">
      <c r="A231" t="s">
        <v>182</v>
      </c>
      <c r="B231">
        <v>3</v>
      </c>
      <c r="C231">
        <v>3</v>
      </c>
      <c r="D231" t="s">
        <v>77</v>
      </c>
      <c r="E231">
        <v>10</v>
      </c>
      <c r="F231">
        <v>1</v>
      </c>
      <c r="G231">
        <v>5</v>
      </c>
      <c r="H231">
        <v>2</v>
      </c>
    </row>
    <row r="232" spans="1:8" x14ac:dyDescent="0.25">
      <c r="A232" t="s">
        <v>182</v>
      </c>
      <c r="B232">
        <v>3</v>
      </c>
      <c r="C232">
        <v>3</v>
      </c>
      <c r="D232" t="s">
        <v>78</v>
      </c>
      <c r="E232">
        <v>9</v>
      </c>
      <c r="F232">
        <v>0</v>
      </c>
      <c r="G232" t="s">
        <v>181</v>
      </c>
      <c r="H232">
        <v>2</v>
      </c>
    </row>
    <row r="233" spans="1:8" x14ac:dyDescent="0.25">
      <c r="A233" t="s">
        <v>182</v>
      </c>
      <c r="B233">
        <v>3</v>
      </c>
      <c r="C233">
        <v>3</v>
      </c>
      <c r="D233" t="s">
        <v>79</v>
      </c>
      <c r="E233">
        <v>5</v>
      </c>
      <c r="F233">
        <v>1</v>
      </c>
      <c r="G233" t="s">
        <v>181</v>
      </c>
      <c r="H233">
        <v>2</v>
      </c>
    </row>
    <row r="234" spans="1:8" x14ac:dyDescent="0.25">
      <c r="A234" t="s">
        <v>182</v>
      </c>
      <c r="B234">
        <v>3</v>
      </c>
      <c r="C234">
        <v>3</v>
      </c>
      <c r="D234" t="s">
        <v>80</v>
      </c>
      <c r="E234">
        <v>5</v>
      </c>
      <c r="F234">
        <v>0</v>
      </c>
      <c r="G234" t="s">
        <v>181</v>
      </c>
      <c r="H234">
        <v>2</v>
      </c>
    </row>
    <row r="235" spans="1:8" x14ac:dyDescent="0.25">
      <c r="A235" t="s">
        <v>182</v>
      </c>
      <c r="B235">
        <v>3</v>
      </c>
      <c r="C235">
        <v>3</v>
      </c>
      <c r="D235" t="s">
        <v>81</v>
      </c>
      <c r="E235">
        <v>4</v>
      </c>
      <c r="F235">
        <v>0</v>
      </c>
      <c r="G235" t="s">
        <v>181</v>
      </c>
      <c r="H235">
        <v>2</v>
      </c>
    </row>
    <row r="236" spans="1:8" x14ac:dyDescent="0.25">
      <c r="A236" t="s">
        <v>182</v>
      </c>
      <c r="B236">
        <v>3</v>
      </c>
      <c r="C236">
        <v>3</v>
      </c>
      <c r="D236" t="s">
        <v>82</v>
      </c>
      <c r="E236">
        <v>4</v>
      </c>
      <c r="F236">
        <v>0</v>
      </c>
      <c r="G236">
        <v>120</v>
      </c>
      <c r="H236">
        <v>2</v>
      </c>
    </row>
    <row r="237" spans="1:8" x14ac:dyDescent="0.25">
      <c r="A237" t="s">
        <v>182</v>
      </c>
      <c r="B237">
        <v>3</v>
      </c>
      <c r="C237">
        <v>3</v>
      </c>
      <c r="D237" t="s">
        <v>83</v>
      </c>
      <c r="E237">
        <v>1</v>
      </c>
      <c r="F237">
        <v>1</v>
      </c>
      <c r="G237">
        <v>20</v>
      </c>
      <c r="H237">
        <v>2</v>
      </c>
    </row>
    <row r="238" spans="1:8" x14ac:dyDescent="0.25">
      <c r="A238" t="s">
        <v>182</v>
      </c>
      <c r="B238">
        <v>3</v>
      </c>
      <c r="C238">
        <v>3</v>
      </c>
      <c r="D238" t="s">
        <v>84</v>
      </c>
      <c r="E238">
        <v>1</v>
      </c>
      <c r="F238">
        <v>1</v>
      </c>
      <c r="G238" t="s">
        <v>181</v>
      </c>
      <c r="H238">
        <v>2</v>
      </c>
    </row>
    <row r="239" spans="1:8" x14ac:dyDescent="0.25">
      <c r="A239" t="s">
        <v>182</v>
      </c>
      <c r="B239">
        <v>3</v>
      </c>
      <c r="C239">
        <v>3</v>
      </c>
      <c r="D239" t="s">
        <v>85</v>
      </c>
      <c r="E239">
        <v>1</v>
      </c>
      <c r="F239">
        <v>0</v>
      </c>
      <c r="G239">
        <v>12</v>
      </c>
      <c r="H239">
        <v>2</v>
      </c>
    </row>
    <row r="240" spans="1:8" x14ac:dyDescent="0.25">
      <c r="A240" t="s">
        <v>182</v>
      </c>
      <c r="B240">
        <v>3</v>
      </c>
      <c r="C240">
        <v>3</v>
      </c>
      <c r="D240" t="s">
        <v>86</v>
      </c>
      <c r="E240">
        <v>1</v>
      </c>
      <c r="F240">
        <v>0</v>
      </c>
      <c r="G240" t="s">
        <v>181</v>
      </c>
      <c r="H240">
        <v>2</v>
      </c>
    </row>
    <row r="241" spans="1:8" x14ac:dyDescent="0.25">
      <c r="A241" t="s">
        <v>182</v>
      </c>
      <c r="B241">
        <v>3</v>
      </c>
      <c r="C241">
        <v>3</v>
      </c>
      <c r="D241" t="s">
        <v>87</v>
      </c>
      <c r="E241">
        <v>0.75</v>
      </c>
      <c r="F241">
        <v>1</v>
      </c>
      <c r="G241" t="s">
        <v>181</v>
      </c>
      <c r="H241">
        <v>2</v>
      </c>
    </row>
    <row r="242" spans="1:8" x14ac:dyDescent="0.25">
      <c r="A242" t="s">
        <v>182</v>
      </c>
      <c r="B242">
        <v>3</v>
      </c>
      <c r="C242">
        <v>3</v>
      </c>
      <c r="D242" t="s">
        <v>88</v>
      </c>
      <c r="E242">
        <v>0.75</v>
      </c>
      <c r="F242">
        <v>0</v>
      </c>
      <c r="G242" t="s">
        <v>181</v>
      </c>
      <c r="H242">
        <v>2</v>
      </c>
    </row>
    <row r="243" spans="1:8" x14ac:dyDescent="0.25">
      <c r="A243" t="s">
        <v>182</v>
      </c>
      <c r="B243">
        <v>4</v>
      </c>
      <c r="C243">
        <v>5</v>
      </c>
      <c r="D243" t="s">
        <v>77</v>
      </c>
      <c r="E243">
        <v>10</v>
      </c>
      <c r="F243">
        <v>1</v>
      </c>
      <c r="G243">
        <v>27</v>
      </c>
      <c r="H243">
        <v>2</v>
      </c>
    </row>
    <row r="244" spans="1:8" x14ac:dyDescent="0.25">
      <c r="A244" t="s">
        <v>182</v>
      </c>
      <c r="B244">
        <v>4</v>
      </c>
      <c r="C244">
        <v>5</v>
      </c>
      <c r="D244" t="s">
        <v>78</v>
      </c>
      <c r="E244">
        <v>9</v>
      </c>
      <c r="F244">
        <v>0</v>
      </c>
      <c r="G244" t="s">
        <v>181</v>
      </c>
      <c r="H244">
        <v>2</v>
      </c>
    </row>
    <row r="245" spans="1:8" x14ac:dyDescent="0.25">
      <c r="A245" t="s">
        <v>182</v>
      </c>
      <c r="B245">
        <v>4</v>
      </c>
      <c r="C245">
        <v>5</v>
      </c>
      <c r="D245" t="s">
        <v>79</v>
      </c>
      <c r="E245">
        <v>5</v>
      </c>
      <c r="F245">
        <v>1</v>
      </c>
      <c r="G245">
        <v>28</v>
      </c>
      <c r="H245">
        <v>2</v>
      </c>
    </row>
    <row r="246" spans="1:8" x14ac:dyDescent="0.25">
      <c r="A246" t="s">
        <v>182</v>
      </c>
      <c r="B246">
        <v>4</v>
      </c>
      <c r="C246">
        <v>5</v>
      </c>
      <c r="D246" t="s">
        <v>80</v>
      </c>
      <c r="E246">
        <v>5</v>
      </c>
      <c r="F246">
        <v>0</v>
      </c>
      <c r="G246">
        <v>82</v>
      </c>
      <c r="H246">
        <v>2</v>
      </c>
    </row>
    <row r="247" spans="1:8" x14ac:dyDescent="0.25">
      <c r="A247" t="s">
        <v>182</v>
      </c>
      <c r="B247">
        <v>4</v>
      </c>
      <c r="C247">
        <v>5</v>
      </c>
      <c r="D247" t="s">
        <v>81</v>
      </c>
      <c r="E247">
        <v>4</v>
      </c>
      <c r="F247">
        <v>0</v>
      </c>
      <c r="G247">
        <v>28</v>
      </c>
      <c r="H247">
        <v>2</v>
      </c>
    </row>
    <row r="248" spans="1:8" x14ac:dyDescent="0.25">
      <c r="A248" t="s">
        <v>182</v>
      </c>
      <c r="B248">
        <v>4</v>
      </c>
      <c r="C248">
        <v>5</v>
      </c>
      <c r="D248" t="s">
        <v>82</v>
      </c>
      <c r="E248">
        <v>4</v>
      </c>
      <c r="F248">
        <v>0</v>
      </c>
      <c r="G248" t="s">
        <v>181</v>
      </c>
      <c r="H248">
        <v>2</v>
      </c>
    </row>
    <row r="249" spans="1:8" x14ac:dyDescent="0.25">
      <c r="A249" t="s">
        <v>182</v>
      </c>
      <c r="B249">
        <v>4</v>
      </c>
      <c r="C249">
        <v>5</v>
      </c>
      <c r="D249" t="s">
        <v>83</v>
      </c>
      <c r="E249">
        <v>1</v>
      </c>
      <c r="F249">
        <v>1</v>
      </c>
      <c r="G249" t="s">
        <v>181</v>
      </c>
      <c r="H249">
        <v>2</v>
      </c>
    </row>
    <row r="250" spans="1:8" x14ac:dyDescent="0.25">
      <c r="A250" t="s">
        <v>182</v>
      </c>
      <c r="B250">
        <v>4</v>
      </c>
      <c r="C250">
        <v>5</v>
      </c>
      <c r="D250" t="s">
        <v>84</v>
      </c>
      <c r="E250">
        <v>1</v>
      </c>
      <c r="F250">
        <v>1</v>
      </c>
      <c r="G250" t="s">
        <v>181</v>
      </c>
      <c r="H250">
        <v>2</v>
      </c>
    </row>
    <row r="251" spans="1:8" x14ac:dyDescent="0.25">
      <c r="A251" t="s">
        <v>182</v>
      </c>
      <c r="B251">
        <v>4</v>
      </c>
      <c r="C251">
        <v>5</v>
      </c>
      <c r="D251" t="s">
        <v>85</v>
      </c>
      <c r="E251">
        <v>1</v>
      </c>
      <c r="F251">
        <v>0</v>
      </c>
      <c r="G251" t="s">
        <v>181</v>
      </c>
      <c r="H251">
        <v>2</v>
      </c>
    </row>
    <row r="252" spans="1:8" x14ac:dyDescent="0.25">
      <c r="A252" t="s">
        <v>182</v>
      </c>
      <c r="B252">
        <v>4</v>
      </c>
      <c r="C252">
        <v>5</v>
      </c>
      <c r="D252" t="s">
        <v>86</v>
      </c>
      <c r="E252">
        <v>1</v>
      </c>
      <c r="F252">
        <v>0</v>
      </c>
      <c r="G252" t="s">
        <v>181</v>
      </c>
      <c r="H252">
        <v>2</v>
      </c>
    </row>
    <row r="253" spans="1:8" x14ac:dyDescent="0.25">
      <c r="A253" t="s">
        <v>182</v>
      </c>
      <c r="B253">
        <v>4</v>
      </c>
      <c r="C253">
        <v>5</v>
      </c>
      <c r="D253" t="s">
        <v>87</v>
      </c>
      <c r="E253">
        <v>0.75</v>
      </c>
      <c r="F253">
        <v>1</v>
      </c>
      <c r="G253" t="s">
        <v>181</v>
      </c>
      <c r="H253">
        <v>2</v>
      </c>
    </row>
    <row r="254" spans="1:8" x14ac:dyDescent="0.25">
      <c r="A254" t="s">
        <v>182</v>
      </c>
      <c r="B254">
        <v>4</v>
      </c>
      <c r="C254">
        <v>5</v>
      </c>
      <c r="D254" t="s">
        <v>88</v>
      </c>
      <c r="E254">
        <v>0.75</v>
      </c>
      <c r="F254">
        <v>0</v>
      </c>
      <c r="G254" t="s">
        <v>181</v>
      </c>
      <c r="H254">
        <v>2</v>
      </c>
    </row>
    <row r="255" spans="1:8" x14ac:dyDescent="0.25">
      <c r="A255" t="s">
        <v>182</v>
      </c>
      <c r="B255">
        <v>5</v>
      </c>
      <c r="C255">
        <v>4</v>
      </c>
      <c r="D255" t="s">
        <v>77</v>
      </c>
      <c r="E255">
        <v>10</v>
      </c>
      <c r="F255">
        <v>1</v>
      </c>
      <c r="G255">
        <v>67</v>
      </c>
      <c r="H255">
        <v>2</v>
      </c>
    </row>
    <row r="256" spans="1:8" x14ac:dyDescent="0.25">
      <c r="A256" t="s">
        <v>182</v>
      </c>
      <c r="B256">
        <v>5</v>
      </c>
      <c r="C256">
        <v>4</v>
      </c>
      <c r="D256" t="s">
        <v>78</v>
      </c>
      <c r="E256">
        <v>9</v>
      </c>
      <c r="F256">
        <v>0</v>
      </c>
      <c r="G256" t="s">
        <v>181</v>
      </c>
      <c r="H256">
        <v>2</v>
      </c>
    </row>
    <row r="257" spans="1:8" x14ac:dyDescent="0.25">
      <c r="A257" t="s">
        <v>182</v>
      </c>
      <c r="B257">
        <v>5</v>
      </c>
      <c r="C257">
        <v>4</v>
      </c>
      <c r="D257" t="s">
        <v>79</v>
      </c>
      <c r="E257">
        <v>5</v>
      </c>
      <c r="F257">
        <v>1</v>
      </c>
      <c r="G257">
        <v>52</v>
      </c>
      <c r="H257">
        <v>2</v>
      </c>
    </row>
    <row r="258" spans="1:8" x14ac:dyDescent="0.25">
      <c r="A258" t="s">
        <v>182</v>
      </c>
      <c r="B258">
        <v>5</v>
      </c>
      <c r="C258">
        <v>4</v>
      </c>
      <c r="D258" t="s">
        <v>80</v>
      </c>
      <c r="E258">
        <v>5</v>
      </c>
      <c r="F258">
        <v>0</v>
      </c>
      <c r="G258">
        <v>44</v>
      </c>
      <c r="H258">
        <v>2</v>
      </c>
    </row>
    <row r="259" spans="1:8" x14ac:dyDescent="0.25">
      <c r="A259" t="s">
        <v>182</v>
      </c>
      <c r="B259">
        <v>5</v>
      </c>
      <c r="C259">
        <v>4</v>
      </c>
      <c r="D259" t="s">
        <v>81</v>
      </c>
      <c r="E259">
        <v>4</v>
      </c>
      <c r="F259">
        <v>0</v>
      </c>
      <c r="G259" t="s">
        <v>181</v>
      </c>
      <c r="H259">
        <v>2</v>
      </c>
    </row>
    <row r="260" spans="1:8" x14ac:dyDescent="0.25">
      <c r="A260" t="s">
        <v>182</v>
      </c>
      <c r="B260">
        <v>5</v>
      </c>
      <c r="C260">
        <v>4</v>
      </c>
      <c r="D260" t="s">
        <v>82</v>
      </c>
      <c r="E260">
        <v>4</v>
      </c>
      <c r="F260">
        <v>0</v>
      </c>
      <c r="G260">
        <v>113</v>
      </c>
      <c r="H260">
        <v>2</v>
      </c>
    </row>
    <row r="261" spans="1:8" x14ac:dyDescent="0.25">
      <c r="A261" t="s">
        <v>182</v>
      </c>
      <c r="B261">
        <v>5</v>
      </c>
      <c r="C261">
        <v>4</v>
      </c>
      <c r="D261" t="s">
        <v>83</v>
      </c>
      <c r="E261">
        <v>1</v>
      </c>
      <c r="F261">
        <v>1</v>
      </c>
      <c r="G261" t="s">
        <v>181</v>
      </c>
      <c r="H261">
        <v>2</v>
      </c>
    </row>
    <row r="262" spans="1:8" x14ac:dyDescent="0.25">
      <c r="A262" t="s">
        <v>182</v>
      </c>
      <c r="B262">
        <v>5</v>
      </c>
      <c r="C262">
        <v>4</v>
      </c>
      <c r="D262" t="s">
        <v>84</v>
      </c>
      <c r="E262">
        <v>1</v>
      </c>
      <c r="F262">
        <v>1</v>
      </c>
      <c r="G262" t="s">
        <v>181</v>
      </c>
      <c r="H262">
        <v>2</v>
      </c>
    </row>
    <row r="263" spans="1:8" x14ac:dyDescent="0.25">
      <c r="A263" t="s">
        <v>182</v>
      </c>
      <c r="B263">
        <v>5</v>
      </c>
      <c r="C263">
        <v>4</v>
      </c>
      <c r="D263" t="s">
        <v>85</v>
      </c>
      <c r="E263">
        <v>1</v>
      </c>
      <c r="F263">
        <v>0</v>
      </c>
      <c r="G263">
        <v>11</v>
      </c>
      <c r="H263">
        <v>2</v>
      </c>
    </row>
    <row r="264" spans="1:8" x14ac:dyDescent="0.25">
      <c r="A264" t="s">
        <v>182</v>
      </c>
      <c r="B264">
        <v>5</v>
      </c>
      <c r="C264">
        <v>4</v>
      </c>
      <c r="D264" t="s">
        <v>86</v>
      </c>
      <c r="E264">
        <v>1</v>
      </c>
      <c r="F264">
        <v>0</v>
      </c>
      <c r="G264">
        <v>71</v>
      </c>
      <c r="H264">
        <v>2</v>
      </c>
    </row>
    <row r="265" spans="1:8" x14ac:dyDescent="0.25">
      <c r="A265" t="s">
        <v>182</v>
      </c>
      <c r="B265">
        <v>5</v>
      </c>
      <c r="C265">
        <v>4</v>
      </c>
      <c r="D265" t="s">
        <v>87</v>
      </c>
      <c r="E265">
        <v>0.75</v>
      </c>
      <c r="F265">
        <v>1</v>
      </c>
      <c r="G265" t="s">
        <v>181</v>
      </c>
      <c r="H265">
        <v>2</v>
      </c>
    </row>
    <row r="266" spans="1:8" x14ac:dyDescent="0.25">
      <c r="A266" t="s">
        <v>182</v>
      </c>
      <c r="B266">
        <v>5</v>
      </c>
      <c r="C266">
        <v>4</v>
      </c>
      <c r="D266" t="s">
        <v>88</v>
      </c>
      <c r="E266">
        <v>0.75</v>
      </c>
      <c r="F266">
        <v>0</v>
      </c>
      <c r="G266" t="s">
        <v>181</v>
      </c>
      <c r="H266">
        <v>2</v>
      </c>
    </row>
    <row r="267" spans="1:8" x14ac:dyDescent="0.25">
      <c r="A267" t="s">
        <v>183</v>
      </c>
      <c r="B267">
        <v>1</v>
      </c>
      <c r="C267">
        <v>5</v>
      </c>
      <c r="D267" t="s">
        <v>134</v>
      </c>
      <c r="E267">
        <v>13</v>
      </c>
      <c r="F267">
        <v>0</v>
      </c>
      <c r="G267">
        <v>9</v>
      </c>
      <c r="H267">
        <v>2</v>
      </c>
    </row>
    <row r="268" spans="1:8" x14ac:dyDescent="0.25">
      <c r="A268" t="s">
        <v>183</v>
      </c>
      <c r="B268">
        <v>1</v>
      </c>
      <c r="C268">
        <v>5</v>
      </c>
      <c r="D268" t="s">
        <v>135</v>
      </c>
      <c r="E268">
        <v>11</v>
      </c>
      <c r="F268">
        <v>0</v>
      </c>
      <c r="G268">
        <v>8</v>
      </c>
      <c r="H268">
        <v>2</v>
      </c>
    </row>
    <row r="269" spans="1:8" x14ac:dyDescent="0.25">
      <c r="A269" t="s">
        <v>183</v>
      </c>
      <c r="B269">
        <v>1</v>
      </c>
      <c r="C269">
        <v>5</v>
      </c>
      <c r="D269" t="s">
        <v>136</v>
      </c>
      <c r="E269">
        <v>11</v>
      </c>
      <c r="F269">
        <v>0</v>
      </c>
      <c r="G269" t="s">
        <v>181</v>
      </c>
      <c r="H269">
        <v>2</v>
      </c>
    </row>
    <row r="270" spans="1:8" x14ac:dyDescent="0.25">
      <c r="A270" t="s">
        <v>183</v>
      </c>
      <c r="B270">
        <v>1</v>
      </c>
      <c r="C270">
        <v>5</v>
      </c>
      <c r="D270" t="s">
        <v>138</v>
      </c>
      <c r="E270">
        <v>12</v>
      </c>
      <c r="F270">
        <v>1</v>
      </c>
      <c r="G270">
        <v>25</v>
      </c>
      <c r="H270">
        <v>2</v>
      </c>
    </row>
    <row r="271" spans="1:8" x14ac:dyDescent="0.25">
      <c r="A271" t="s">
        <v>183</v>
      </c>
      <c r="B271">
        <v>1</v>
      </c>
      <c r="C271">
        <v>5</v>
      </c>
      <c r="D271" t="s">
        <v>137</v>
      </c>
      <c r="E271">
        <v>12</v>
      </c>
      <c r="F271">
        <v>1</v>
      </c>
      <c r="G271">
        <v>32</v>
      </c>
      <c r="H271">
        <v>2</v>
      </c>
    </row>
    <row r="272" spans="1:8" x14ac:dyDescent="0.25">
      <c r="A272" t="s">
        <v>183</v>
      </c>
      <c r="B272">
        <v>2</v>
      </c>
      <c r="C272">
        <v>2</v>
      </c>
      <c r="D272" t="s">
        <v>134</v>
      </c>
      <c r="E272">
        <v>13</v>
      </c>
      <c r="F272">
        <v>0</v>
      </c>
      <c r="G272">
        <v>32</v>
      </c>
      <c r="H272">
        <v>2</v>
      </c>
    </row>
    <row r="273" spans="1:8" x14ac:dyDescent="0.25">
      <c r="A273" t="s">
        <v>183</v>
      </c>
      <c r="B273">
        <v>2</v>
      </c>
      <c r="C273">
        <v>2</v>
      </c>
      <c r="D273" t="s">
        <v>135</v>
      </c>
      <c r="E273">
        <v>11</v>
      </c>
      <c r="F273">
        <v>0</v>
      </c>
      <c r="G273">
        <v>4</v>
      </c>
      <c r="H273">
        <v>2</v>
      </c>
    </row>
    <row r="274" spans="1:8" x14ac:dyDescent="0.25">
      <c r="A274" t="s">
        <v>183</v>
      </c>
      <c r="B274">
        <v>2</v>
      </c>
      <c r="C274">
        <v>2</v>
      </c>
      <c r="D274" t="s">
        <v>136</v>
      </c>
      <c r="E274">
        <v>11</v>
      </c>
      <c r="F274">
        <v>0</v>
      </c>
      <c r="G274">
        <v>8</v>
      </c>
      <c r="H274">
        <v>2</v>
      </c>
    </row>
    <row r="275" spans="1:8" x14ac:dyDescent="0.25">
      <c r="A275" t="s">
        <v>183</v>
      </c>
      <c r="B275">
        <v>2</v>
      </c>
      <c r="C275">
        <v>2</v>
      </c>
      <c r="D275" t="s">
        <v>138</v>
      </c>
      <c r="E275">
        <v>12</v>
      </c>
      <c r="F275">
        <v>1</v>
      </c>
      <c r="G275" t="s">
        <v>181</v>
      </c>
      <c r="H275">
        <v>2</v>
      </c>
    </row>
    <row r="276" spans="1:8" x14ac:dyDescent="0.25">
      <c r="A276" t="s">
        <v>183</v>
      </c>
      <c r="B276">
        <v>2</v>
      </c>
      <c r="C276">
        <v>2</v>
      </c>
      <c r="D276" t="s">
        <v>137</v>
      </c>
      <c r="E276">
        <v>12</v>
      </c>
      <c r="F276">
        <v>1</v>
      </c>
      <c r="G276">
        <v>133</v>
      </c>
      <c r="H276">
        <v>2</v>
      </c>
    </row>
    <row r="277" spans="1:8" x14ac:dyDescent="0.25">
      <c r="A277" t="s">
        <v>183</v>
      </c>
      <c r="B277">
        <v>3</v>
      </c>
      <c r="C277">
        <v>1</v>
      </c>
      <c r="D277" t="s">
        <v>134</v>
      </c>
      <c r="E277">
        <v>13</v>
      </c>
      <c r="F277">
        <v>0</v>
      </c>
      <c r="G277">
        <v>238</v>
      </c>
      <c r="H277">
        <v>2</v>
      </c>
    </row>
    <row r="278" spans="1:8" x14ac:dyDescent="0.25">
      <c r="A278" t="s">
        <v>183</v>
      </c>
      <c r="B278">
        <v>3</v>
      </c>
      <c r="C278">
        <v>1</v>
      </c>
      <c r="D278" t="s">
        <v>135</v>
      </c>
      <c r="E278">
        <v>11</v>
      </c>
      <c r="F278">
        <v>0</v>
      </c>
      <c r="G278">
        <v>58</v>
      </c>
      <c r="H278">
        <v>2</v>
      </c>
    </row>
    <row r="279" spans="1:8" x14ac:dyDescent="0.25">
      <c r="A279" t="s">
        <v>183</v>
      </c>
      <c r="B279">
        <v>3</v>
      </c>
      <c r="C279">
        <v>1</v>
      </c>
      <c r="D279" t="s">
        <v>136</v>
      </c>
      <c r="E279">
        <v>11</v>
      </c>
      <c r="F279">
        <v>0</v>
      </c>
      <c r="G279">
        <v>140</v>
      </c>
      <c r="H279">
        <v>2</v>
      </c>
    </row>
    <row r="280" spans="1:8" x14ac:dyDescent="0.25">
      <c r="A280" t="s">
        <v>183</v>
      </c>
      <c r="B280">
        <v>3</v>
      </c>
      <c r="C280">
        <v>1</v>
      </c>
      <c r="D280" t="s">
        <v>138</v>
      </c>
      <c r="E280">
        <v>12</v>
      </c>
      <c r="F280">
        <v>1</v>
      </c>
      <c r="G280" t="s">
        <v>181</v>
      </c>
      <c r="H280">
        <v>2</v>
      </c>
    </row>
    <row r="281" spans="1:8" x14ac:dyDescent="0.25">
      <c r="A281" t="s">
        <v>183</v>
      </c>
      <c r="B281">
        <v>3</v>
      </c>
      <c r="C281">
        <v>1</v>
      </c>
      <c r="D281" t="s">
        <v>137</v>
      </c>
      <c r="E281">
        <v>12</v>
      </c>
      <c r="F281">
        <v>1</v>
      </c>
      <c r="G281">
        <v>286</v>
      </c>
      <c r="H281">
        <v>2</v>
      </c>
    </row>
    <row r="282" spans="1:8" x14ac:dyDescent="0.25">
      <c r="A282" t="s">
        <v>183</v>
      </c>
      <c r="B282">
        <v>4</v>
      </c>
      <c r="C282">
        <v>4</v>
      </c>
      <c r="D282" t="s">
        <v>134</v>
      </c>
      <c r="E282">
        <v>13</v>
      </c>
      <c r="F282">
        <v>0</v>
      </c>
      <c r="G282">
        <v>286</v>
      </c>
      <c r="H282">
        <v>2</v>
      </c>
    </row>
    <row r="283" spans="1:8" x14ac:dyDescent="0.25">
      <c r="A283" t="s">
        <v>183</v>
      </c>
      <c r="B283">
        <v>4</v>
      </c>
      <c r="C283">
        <v>4</v>
      </c>
      <c r="D283" t="s">
        <v>135</v>
      </c>
      <c r="E283">
        <v>11</v>
      </c>
      <c r="F283">
        <v>0</v>
      </c>
      <c r="G283">
        <v>36</v>
      </c>
      <c r="H283">
        <v>2</v>
      </c>
    </row>
    <row r="284" spans="1:8" x14ac:dyDescent="0.25">
      <c r="A284" t="s">
        <v>183</v>
      </c>
      <c r="B284">
        <v>4</v>
      </c>
      <c r="C284">
        <v>4</v>
      </c>
      <c r="D284" t="s">
        <v>136</v>
      </c>
      <c r="E284">
        <v>11</v>
      </c>
      <c r="F284">
        <v>0</v>
      </c>
      <c r="G284" t="s">
        <v>181</v>
      </c>
      <c r="H284">
        <v>2</v>
      </c>
    </row>
    <row r="285" spans="1:8" x14ac:dyDescent="0.25">
      <c r="A285" t="s">
        <v>183</v>
      </c>
      <c r="B285">
        <v>4</v>
      </c>
      <c r="C285">
        <v>4</v>
      </c>
      <c r="D285" t="s">
        <v>138</v>
      </c>
      <c r="E285">
        <v>12</v>
      </c>
      <c r="F285">
        <v>1</v>
      </c>
      <c r="G285" t="s">
        <v>181</v>
      </c>
      <c r="H285">
        <v>2</v>
      </c>
    </row>
    <row r="286" spans="1:8" x14ac:dyDescent="0.25">
      <c r="A286" t="s">
        <v>183</v>
      </c>
      <c r="B286">
        <v>4</v>
      </c>
      <c r="C286">
        <v>4</v>
      </c>
      <c r="D286" t="s">
        <v>137</v>
      </c>
      <c r="E286">
        <v>12</v>
      </c>
      <c r="F286">
        <v>1</v>
      </c>
      <c r="G286" t="s">
        <v>181</v>
      </c>
      <c r="H286">
        <v>2</v>
      </c>
    </row>
    <row r="287" spans="1:8" x14ac:dyDescent="0.25">
      <c r="A287" t="s">
        <v>183</v>
      </c>
      <c r="B287">
        <v>5</v>
      </c>
      <c r="C287">
        <v>3</v>
      </c>
      <c r="D287" t="s">
        <v>134</v>
      </c>
      <c r="E287">
        <v>13</v>
      </c>
      <c r="F287">
        <v>0</v>
      </c>
      <c r="G287" t="s">
        <v>181</v>
      </c>
      <c r="H287">
        <v>2</v>
      </c>
    </row>
    <row r="288" spans="1:8" x14ac:dyDescent="0.25">
      <c r="A288" t="s">
        <v>183</v>
      </c>
      <c r="B288">
        <v>5</v>
      </c>
      <c r="C288">
        <v>3</v>
      </c>
      <c r="D288" t="s">
        <v>135</v>
      </c>
      <c r="E288">
        <v>11</v>
      </c>
      <c r="F288">
        <v>0</v>
      </c>
      <c r="G288">
        <v>38</v>
      </c>
      <c r="H288">
        <v>2</v>
      </c>
    </row>
    <row r="289" spans="1:8" x14ac:dyDescent="0.25">
      <c r="A289" t="s">
        <v>183</v>
      </c>
      <c r="B289">
        <v>5</v>
      </c>
      <c r="C289">
        <v>3</v>
      </c>
      <c r="D289" t="s">
        <v>136</v>
      </c>
      <c r="E289">
        <v>11</v>
      </c>
      <c r="F289">
        <v>0</v>
      </c>
      <c r="G289" t="s">
        <v>181</v>
      </c>
      <c r="H289">
        <v>2</v>
      </c>
    </row>
    <row r="290" spans="1:8" x14ac:dyDescent="0.25">
      <c r="A290" t="s">
        <v>183</v>
      </c>
      <c r="B290">
        <v>5</v>
      </c>
      <c r="C290">
        <v>3</v>
      </c>
      <c r="D290" t="s">
        <v>138</v>
      </c>
      <c r="E290">
        <v>12</v>
      </c>
      <c r="F290">
        <v>1</v>
      </c>
      <c r="G290" t="s">
        <v>181</v>
      </c>
      <c r="H290">
        <v>2</v>
      </c>
    </row>
    <row r="291" spans="1:8" x14ac:dyDescent="0.25">
      <c r="A291" t="s">
        <v>183</v>
      </c>
      <c r="B291">
        <v>5</v>
      </c>
      <c r="C291">
        <v>3</v>
      </c>
      <c r="D291" t="s">
        <v>137</v>
      </c>
      <c r="E291">
        <v>12</v>
      </c>
      <c r="F291">
        <v>1</v>
      </c>
      <c r="G291" t="s">
        <v>181</v>
      </c>
      <c r="H291">
        <v>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Newquay TADA</vt:lpstr>
      <vt:lpstr>Tamar TADA</vt:lpstr>
      <vt:lpstr>New Forest TADA</vt:lpstr>
      <vt:lpstr>Memory GLMM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Owner</cp:lastModifiedBy>
  <dcterms:created xsi:type="dcterms:W3CDTF">2020-05-11T10:32:38Z</dcterms:created>
  <dcterms:modified xsi:type="dcterms:W3CDTF">2020-07-08T11:53:00Z</dcterms:modified>
</cp:coreProperties>
</file>