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\Dropbox\Documents - Work\Manuscripts\Dunbar's Number\BiologyLetters\"/>
    </mc:Choice>
  </mc:AlternateContent>
  <bookViews>
    <workbookView xWindow="0" yWindow="0" windowWidth="38360" windowHeight="17370"/>
  </bookViews>
  <sheets>
    <sheet name="Neocortex" sheetId="1" r:id="rId1"/>
  </sheets>
  <calcPr calcId="162913"/>
</workbook>
</file>

<file path=xl/calcChain.xml><?xml version="1.0" encoding="utf-8"?>
<calcChain xmlns="http://schemas.openxmlformats.org/spreadsheetml/2006/main">
  <c r="I139" i="1" l="1"/>
  <c r="H139" i="1"/>
  <c r="G132" i="1"/>
  <c r="I132" i="1" s="1"/>
  <c r="F132" i="1"/>
  <c r="H132" i="1" s="1"/>
  <c r="I129" i="1"/>
  <c r="H129" i="1"/>
  <c r="G128" i="1"/>
  <c r="I128" i="1" s="1"/>
  <c r="F128" i="1"/>
  <c r="H128" i="1" s="1"/>
  <c r="I126" i="1"/>
  <c r="H126" i="1"/>
  <c r="I125" i="1"/>
  <c r="H125" i="1"/>
  <c r="I122" i="1"/>
  <c r="H122" i="1"/>
  <c r="I121" i="1"/>
  <c r="H121" i="1"/>
  <c r="I119" i="1"/>
  <c r="H119" i="1"/>
  <c r="I118" i="1"/>
  <c r="H118" i="1"/>
  <c r="G116" i="1"/>
  <c r="I116" i="1" s="1"/>
  <c r="F116" i="1"/>
  <c r="H116" i="1" s="1"/>
  <c r="G112" i="1"/>
  <c r="I112" i="1" s="1"/>
  <c r="F112" i="1"/>
  <c r="H112" i="1" s="1"/>
  <c r="I109" i="1"/>
  <c r="H109" i="1"/>
  <c r="G108" i="1"/>
  <c r="I108" i="1" s="1"/>
  <c r="F108" i="1"/>
  <c r="H108" i="1" s="1"/>
  <c r="I106" i="1"/>
  <c r="H106" i="1"/>
  <c r="I105" i="1"/>
  <c r="H105" i="1"/>
  <c r="I104" i="1"/>
  <c r="H104" i="1"/>
  <c r="G103" i="1"/>
  <c r="I103" i="1" s="1"/>
  <c r="F103" i="1"/>
  <c r="H103" i="1" s="1"/>
  <c r="G102" i="1"/>
  <c r="I102" i="1" s="1"/>
  <c r="F102" i="1"/>
  <c r="H102" i="1" s="1"/>
  <c r="G100" i="1"/>
  <c r="I100" i="1" s="1"/>
  <c r="F100" i="1"/>
  <c r="H100" i="1" s="1"/>
  <c r="G98" i="1"/>
  <c r="I98" i="1" s="1"/>
  <c r="F98" i="1"/>
  <c r="H98" i="1" s="1"/>
  <c r="I96" i="1"/>
  <c r="H96" i="1"/>
  <c r="I94" i="1"/>
  <c r="H94" i="1"/>
  <c r="G92" i="1"/>
  <c r="I92" i="1" s="1"/>
  <c r="F92" i="1"/>
  <c r="H92" i="1" s="1"/>
  <c r="I91" i="1"/>
  <c r="H91" i="1"/>
  <c r="I90" i="1"/>
  <c r="H90" i="1"/>
  <c r="I89" i="1"/>
  <c r="H89" i="1"/>
  <c r="I87" i="1"/>
  <c r="H87" i="1"/>
  <c r="I86" i="1"/>
  <c r="H86" i="1"/>
  <c r="G85" i="1"/>
  <c r="I85" i="1" s="1"/>
  <c r="F85" i="1"/>
  <c r="H85" i="1" s="1"/>
  <c r="I84" i="1"/>
  <c r="H84" i="1"/>
  <c r="I83" i="1"/>
  <c r="H83" i="1"/>
  <c r="I82" i="1"/>
  <c r="H82" i="1"/>
  <c r="I81" i="1"/>
  <c r="H81" i="1"/>
  <c r="I80" i="1"/>
  <c r="H80" i="1"/>
  <c r="I77" i="1"/>
  <c r="H77" i="1"/>
  <c r="I76" i="1"/>
  <c r="H76" i="1"/>
  <c r="I75" i="1"/>
  <c r="H75" i="1"/>
  <c r="I74" i="1"/>
  <c r="H74" i="1"/>
  <c r="G71" i="1"/>
  <c r="I71" i="1" s="1"/>
  <c r="F71" i="1"/>
  <c r="H71" i="1" s="1"/>
  <c r="G66" i="1"/>
  <c r="I66" i="1" s="1"/>
  <c r="F66" i="1"/>
  <c r="H66" i="1" s="1"/>
  <c r="G65" i="1"/>
  <c r="I65" i="1" s="1"/>
  <c r="F65" i="1"/>
  <c r="H65" i="1" s="1"/>
  <c r="I63" i="1"/>
  <c r="H63" i="1"/>
  <c r="G62" i="1"/>
  <c r="I62" i="1" s="1"/>
  <c r="F62" i="1"/>
  <c r="H62" i="1" s="1"/>
  <c r="I58" i="1"/>
  <c r="H58" i="1"/>
  <c r="I56" i="1"/>
  <c r="H56" i="1"/>
  <c r="I54" i="1"/>
  <c r="H54" i="1"/>
  <c r="G53" i="1"/>
  <c r="I53" i="1" s="1"/>
  <c r="F53" i="1"/>
  <c r="H53" i="1" s="1"/>
  <c r="I50" i="1"/>
  <c r="H50" i="1"/>
  <c r="G47" i="1"/>
  <c r="I47" i="1" s="1"/>
  <c r="F47" i="1"/>
  <c r="H47" i="1" s="1"/>
  <c r="I46" i="1"/>
  <c r="H46" i="1"/>
  <c r="I43" i="1"/>
  <c r="H43" i="1"/>
  <c r="I41" i="1"/>
  <c r="H41" i="1"/>
  <c r="I39" i="1"/>
  <c r="H39" i="1"/>
  <c r="I35" i="1"/>
  <c r="H35" i="1"/>
  <c r="G34" i="1"/>
  <c r="I34" i="1" s="1"/>
  <c r="F34" i="1"/>
  <c r="H34" i="1" s="1"/>
  <c r="I29" i="1"/>
  <c r="H29" i="1"/>
  <c r="I28" i="1"/>
  <c r="H28" i="1"/>
  <c r="I27" i="1"/>
  <c r="H27" i="1"/>
  <c r="I26" i="1"/>
  <c r="H26" i="1"/>
  <c r="I25" i="1"/>
  <c r="H25" i="1"/>
  <c r="I24" i="1"/>
  <c r="H24" i="1"/>
  <c r="I22" i="1"/>
  <c r="H22" i="1"/>
  <c r="G21" i="1"/>
  <c r="I21" i="1" s="1"/>
  <c r="F21" i="1"/>
  <c r="H21" i="1" s="1"/>
  <c r="I16" i="1"/>
  <c r="H16" i="1"/>
  <c r="G14" i="1"/>
  <c r="I14" i="1" s="1"/>
  <c r="F14" i="1"/>
  <c r="H14" i="1" s="1"/>
  <c r="I13" i="1"/>
  <c r="H13" i="1"/>
  <c r="G10" i="1"/>
  <c r="I10" i="1" s="1"/>
  <c r="F10" i="1"/>
  <c r="H10" i="1" s="1"/>
  <c r="I9" i="1"/>
  <c r="H9" i="1"/>
  <c r="I7" i="1"/>
  <c r="H7" i="1"/>
  <c r="I6" i="1"/>
  <c r="H6" i="1"/>
</calcChain>
</file>

<file path=xl/sharedStrings.xml><?xml version="1.0" encoding="utf-8"?>
<sst xmlns="http://schemas.openxmlformats.org/spreadsheetml/2006/main" count="163" uniqueCount="156">
  <si>
    <r>
      <rPr>
        <sz val="12"/>
        <color indexed="9"/>
        <rFont val="Calibri"/>
      </rPr>
      <t>Gray</t>
    </r>
    <r>
      <rPr>
        <sz val="12"/>
        <color indexed="8"/>
        <rFont val="Calibri"/>
      </rPr>
      <t xml:space="preserve"> = Measurement included in others</t>
    </r>
  </si>
  <si>
    <t>Stephan et al. 1981</t>
  </si>
  <si>
    <t>Navarrete et al. 2018</t>
  </si>
  <si>
    <t>DeCasien et al. 2019</t>
  </si>
  <si>
    <t>Pooled</t>
  </si>
  <si>
    <t>DeCasien et al. 2017</t>
  </si>
  <si>
    <t>Isler et al. 2008</t>
  </si>
  <si>
    <t>DeCasien et al. 2019 + Kappeler &amp; Heymann 1996</t>
  </si>
  <si>
    <t>Species</t>
  </si>
  <si>
    <r>
      <rPr>
        <sz val="12"/>
        <color indexed="8"/>
        <rFont val="Calibri"/>
      </rPr>
      <t>Total brain vol. (mm</t>
    </r>
    <r>
      <rPr>
        <vertAlign val="superscript"/>
        <sz val="12"/>
        <color indexed="8"/>
        <rFont val="Calibri"/>
      </rPr>
      <t>3</t>
    </r>
    <r>
      <rPr>
        <sz val="12"/>
        <color indexed="8"/>
        <rFont val="Calibri"/>
      </rPr>
      <t>)</t>
    </r>
  </si>
  <si>
    <r>
      <rPr>
        <sz val="12"/>
        <color indexed="8"/>
        <rFont val="Calibri"/>
      </rPr>
      <t>Neocortex vol. (mm</t>
    </r>
    <r>
      <rPr>
        <vertAlign val="superscript"/>
        <sz val="12"/>
        <color indexed="8"/>
        <rFont val="Calibri"/>
      </rPr>
      <t>3</t>
    </r>
    <r>
      <rPr>
        <sz val="12"/>
        <color indexed="8"/>
        <rFont val="Calibri"/>
      </rPr>
      <t>)</t>
    </r>
  </si>
  <si>
    <t>Group sizes</t>
  </si>
  <si>
    <t>Final Brain Weight (g)</t>
  </si>
  <si>
    <t>Final Body Weight (g)</t>
  </si>
  <si>
    <t>ECV species mean</t>
  </si>
  <si>
    <t>Body mass (g)</t>
  </si>
  <si>
    <t>Group size</t>
  </si>
  <si>
    <t>Allenopithecus_nigroviridis</t>
  </si>
  <si>
    <t>Alouatta_belzebul</t>
  </si>
  <si>
    <t>Alouatta_caraya</t>
  </si>
  <si>
    <t>Alouatta_palliata</t>
  </si>
  <si>
    <t>Alouatta_seniculus</t>
  </si>
  <si>
    <t>Aotus_azarai</t>
  </si>
  <si>
    <t>Aotus_lemurinus</t>
  </si>
  <si>
    <t>Aotus_trivirgatus</t>
  </si>
  <si>
    <t>Arctocebus_calabarensis</t>
  </si>
  <si>
    <t>Ateles_belzebuth</t>
  </si>
  <si>
    <t>Ateles_fusciceps</t>
  </si>
  <si>
    <t>Ateles_geoffroyi</t>
  </si>
  <si>
    <t>Ateles_paniscus</t>
  </si>
  <si>
    <t>Avahi_laniger</t>
  </si>
  <si>
    <t>Brachyteles_arachnoides</t>
  </si>
  <si>
    <t>Bunopithecus_hoolock</t>
  </si>
  <si>
    <t>Cacajao_calvus</t>
  </si>
  <si>
    <t>Cacajao_melanocephalus</t>
  </si>
  <si>
    <t>Callicebus_moloch</t>
  </si>
  <si>
    <t>Callimico_goeldii</t>
  </si>
  <si>
    <t>Callithrix_argentata</t>
  </si>
  <si>
    <t>Callithrix_geoffroyi</t>
  </si>
  <si>
    <t>Callithrix_jacchus</t>
  </si>
  <si>
    <t>Callithrix_penicillata</t>
  </si>
  <si>
    <t>Callithrix_pygmaea</t>
  </si>
  <si>
    <t>Cebus_albifrons</t>
  </si>
  <si>
    <t>Cebus_apella</t>
  </si>
  <si>
    <t>Cebus_capucinus</t>
  </si>
  <si>
    <t>Cebus_olivaceus</t>
  </si>
  <si>
    <t>Cercocebus_agilis</t>
  </si>
  <si>
    <t>Cercocebus_torquatus</t>
  </si>
  <si>
    <t>Cercocebus_torquatus_atys</t>
  </si>
  <si>
    <t>Cercopithecus_ascanius</t>
  </si>
  <si>
    <t>Cercopithecus_campbelli</t>
  </si>
  <si>
    <t>Cercopithecus_cephus</t>
  </si>
  <si>
    <t>Cercopithecus_diana</t>
  </si>
  <si>
    <t>Cercopithecus_hamlyni</t>
  </si>
  <si>
    <t>Cercopithecus_lhoesti</t>
  </si>
  <si>
    <t>Cercopithecus_mitis</t>
  </si>
  <si>
    <t>Cercopithecus_neglectus</t>
  </si>
  <si>
    <t>Cercopithecus_nictitans</t>
  </si>
  <si>
    <t>Cercopithecus_petaurista</t>
  </si>
  <si>
    <t>Cercopithecus_pogonias</t>
  </si>
  <si>
    <t>Cheirogaleus_major</t>
  </si>
  <si>
    <t>Cheirogaleus_medius</t>
  </si>
  <si>
    <t>Chlorocebus_aethiops</t>
  </si>
  <si>
    <t>Colobus_angolensis</t>
  </si>
  <si>
    <t>Colobus_guereza</t>
  </si>
  <si>
    <t>Colobus_polykomos</t>
  </si>
  <si>
    <t>Colobus_satanas</t>
  </si>
  <si>
    <t>Daubentonia_madagascariensis</t>
  </si>
  <si>
    <t>Erythrocebus_patas</t>
  </si>
  <si>
    <t>Eulemur_coronatus</t>
  </si>
  <si>
    <t>Eulemur_fulvus_fulvus</t>
  </si>
  <si>
    <t>Eulemur_macaco_macaco</t>
  </si>
  <si>
    <t>Eulemur_mongoz</t>
  </si>
  <si>
    <t>Eulemur_rubriventer</t>
  </si>
  <si>
    <t>Euoticus_elegantulus</t>
  </si>
  <si>
    <t>Galago_moholi</t>
  </si>
  <si>
    <t>Galago_senegalensis</t>
  </si>
  <si>
    <t>Galagoides_demidoff</t>
  </si>
  <si>
    <t>Galagoides_zanzibaricus</t>
  </si>
  <si>
    <t>Gorilla_beringei</t>
  </si>
  <si>
    <t>Gorilla_gorilla_gorilla</t>
  </si>
  <si>
    <t>Hapalemur_griseus</t>
  </si>
  <si>
    <t>Hylobates_agilis</t>
  </si>
  <si>
    <t>Hylobates_klossii</t>
  </si>
  <si>
    <t>Hylobates_lar</t>
  </si>
  <si>
    <t>Hylobates_muelleri</t>
  </si>
  <si>
    <t>Hylobates_pileatus</t>
  </si>
  <si>
    <t>Indri_indri</t>
  </si>
  <si>
    <t>Lagothrix_lagotricha</t>
  </si>
  <si>
    <t>Lemur_catta</t>
  </si>
  <si>
    <t>Leontopithecus_rosalia</t>
  </si>
  <si>
    <t>Lepilemur_leucopus</t>
  </si>
  <si>
    <t>Lepilemur_mustelinus</t>
  </si>
  <si>
    <t>Lophocebus_albigena</t>
  </si>
  <si>
    <t>Loris_tardigradus</t>
  </si>
  <si>
    <t>Macaca_arctoides</t>
  </si>
  <si>
    <t>Macaca_fascicularis</t>
  </si>
  <si>
    <t>Macaca_fuscata</t>
  </si>
  <si>
    <t>Macaca_mulatta</t>
  </si>
  <si>
    <t>Macaca_nemestrina</t>
  </si>
  <si>
    <t>Macaca_nigra</t>
  </si>
  <si>
    <t>Macaca_radiata</t>
  </si>
  <si>
    <t>Macaca_silenus</t>
  </si>
  <si>
    <t>Macaca_sylvanus</t>
  </si>
  <si>
    <t>Mandrillus_sphinx</t>
  </si>
  <si>
    <t>Microcebus_murinus</t>
  </si>
  <si>
    <t>Microcebus_rufus</t>
  </si>
  <si>
    <t>Miopithecus_talapoin</t>
  </si>
  <si>
    <t>Mirza_coquereli</t>
  </si>
  <si>
    <t>Nasalis_larvatus</t>
  </si>
  <si>
    <t>Nomascus_concolor</t>
  </si>
  <si>
    <t>Nycticebus_coucang</t>
  </si>
  <si>
    <t>Nycticebus_pygmaeus</t>
  </si>
  <si>
    <t>Otolemur_crassicaudatus</t>
  </si>
  <si>
    <t>Otolemur_garnettii</t>
  </si>
  <si>
    <t>Pan_paniscus</t>
  </si>
  <si>
    <t>Pan_troglodytes_troglodytes</t>
  </si>
  <si>
    <t>Papio_anubis</t>
  </si>
  <si>
    <t>Papio_cynocephalus</t>
  </si>
  <si>
    <t>Papio_hamadryas</t>
  </si>
  <si>
    <t>Papio_ursinus</t>
  </si>
  <si>
    <t>Perodicticus_potto</t>
  </si>
  <si>
    <t>Piliocolobus_badius</t>
  </si>
  <si>
    <t>Pithecia_pithecia</t>
  </si>
  <si>
    <t>Pongo_abelii</t>
  </si>
  <si>
    <t>Pongo_pygmaeus</t>
  </si>
  <si>
    <t>Presbytis_melalophos</t>
  </si>
  <si>
    <t>Procolobus_verus</t>
  </si>
  <si>
    <t>Propithecus_diadema</t>
  </si>
  <si>
    <t>Propithecus_verreauxi</t>
  </si>
  <si>
    <t>Rhinopithecus_avunculus</t>
  </si>
  <si>
    <t>Pygathrix_nemaeus</t>
  </si>
  <si>
    <t>Saguinus_fuscicollis</t>
  </si>
  <si>
    <t>Saguinus_geoffroyi</t>
  </si>
  <si>
    <t>Saguinus_imperator</t>
  </si>
  <si>
    <t>Saguinus_midas</t>
  </si>
  <si>
    <t>Saguinus_mystax</t>
  </si>
  <si>
    <t>Saguinus_niger</t>
  </si>
  <si>
    <t>Saguinus_oedipus</t>
  </si>
  <si>
    <t>Saimiri_boliviensis</t>
  </si>
  <si>
    <t>Saimiri_oerstedii</t>
  </si>
  <si>
    <t>Saimiri_sciureus</t>
  </si>
  <si>
    <t>Semnopithecus_entellus</t>
  </si>
  <si>
    <t>Symphalangus_syndactylus</t>
  </si>
  <si>
    <t>Tarsius_bancanus</t>
  </si>
  <si>
    <t>Tarsius_syrichta</t>
  </si>
  <si>
    <t>Theropithecus_gelada</t>
  </si>
  <si>
    <t>Trachypithecus_cristatus</t>
  </si>
  <si>
    <t>Trachypithecus_geei</t>
  </si>
  <si>
    <t>Trachypithecus_johnii</t>
  </si>
  <si>
    <t>Trachypithecus_obscurus</t>
  </si>
  <si>
    <t>Trachypithecus_vetulus</t>
  </si>
  <si>
    <t>Varecia_variegata_variegata</t>
  </si>
  <si>
    <t>Homo sapiens</t>
  </si>
  <si>
    <t>Brain measures from Allen et al. 2002 =&gt;</t>
  </si>
  <si>
    <t>&lt;= Body weight measure from Walpole et al.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</si>
</sst>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2"/>
      <color indexed="8"/>
      <name val="Calibri"/>
    </font>
    <font>
      <sz val="12"/>
      <color indexed="9"/>
      <name val="Calibri"/>
    </font>
    <font>
      <sz val="12"/>
      <color indexed="12"/>
      <name val="Calibri"/>
    </font>
    <font>
      <sz val="12"/>
      <color indexed="15"/>
      <name val="Calibri"/>
    </font>
    <font>
      <sz val="12"/>
      <color indexed="18"/>
      <name val="Calibri"/>
    </font>
    <font>
      <i/>
      <sz val="12"/>
      <color indexed="8"/>
      <name val="Calibri"/>
    </font>
    <font>
      <vertAlign val="superscript"/>
      <sz val="12"/>
      <color indexed="8"/>
      <name val="Calibri"/>
    </font>
    <font>
      <sz val="12"/>
      <name val="Calibri"/>
      <family val="2"/>
    </font>
    <font>
      <b/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/>
      <top style="thin">
        <color indexed="14"/>
      </top>
      <bottom/>
      <diagonal/>
    </border>
    <border>
      <left/>
      <right style="thick">
        <color indexed="14"/>
      </right>
      <top style="thin">
        <color indexed="14"/>
      </top>
      <bottom/>
      <diagonal/>
    </border>
    <border>
      <left style="thick">
        <color indexed="1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4"/>
      </left>
      <right style="thin">
        <color indexed="11"/>
      </right>
      <top style="thin">
        <color indexed="8"/>
      </top>
      <bottom style="thin">
        <color indexed="14"/>
      </bottom>
      <diagonal/>
    </border>
    <border>
      <left style="thin">
        <color indexed="11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8"/>
      </right>
      <top/>
      <bottom style="thin">
        <color indexed="14"/>
      </bottom>
      <diagonal/>
    </border>
    <border>
      <left style="thin">
        <color indexed="8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ck">
        <color indexed="14"/>
      </right>
      <top/>
      <bottom style="thin">
        <color indexed="14"/>
      </bottom>
      <diagonal/>
    </border>
    <border>
      <left style="thick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1"/>
      </right>
      <top style="thin">
        <color indexed="14"/>
      </top>
      <bottom style="thin">
        <color indexed="14"/>
      </bottom>
      <diagonal/>
    </border>
    <border>
      <left style="thin">
        <color indexed="11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ck">
        <color indexed="14"/>
      </right>
      <top style="thin">
        <color indexed="14"/>
      </top>
      <bottom style="thin">
        <color indexed="14"/>
      </bottom>
      <diagonal/>
    </border>
    <border>
      <left style="thick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3" borderId="2" xfId="0" applyNumberFormat="1" applyFont="1" applyFill="1" applyBorder="1" applyAlignment="1"/>
    <xf numFmtId="0" fontId="2" fillId="3" borderId="3" xfId="0" applyFont="1" applyFill="1" applyBorder="1" applyAlignment="1"/>
    <xf numFmtId="49" fontId="3" fillId="4" borderId="3" xfId="0" applyNumberFormat="1" applyFont="1" applyFill="1" applyBorder="1" applyAlignment="1"/>
    <xf numFmtId="0" fontId="3" fillId="4" borderId="3" xfId="0" applyFont="1" applyFill="1" applyBorder="1" applyAlignment="1"/>
    <xf numFmtId="49" fontId="2" fillId="5" borderId="3" xfId="0" applyNumberFormat="1" applyFont="1" applyFill="1" applyBorder="1" applyAlignment="1"/>
    <xf numFmtId="0" fontId="2" fillId="5" borderId="3" xfId="0" applyFont="1" applyFill="1" applyBorder="1" applyAlignment="1"/>
    <xf numFmtId="49" fontId="4" fillId="6" borderId="3" xfId="0" applyNumberFormat="1" applyFont="1" applyFill="1" applyBorder="1" applyAlignment="1"/>
    <xf numFmtId="0" fontId="4" fillId="6" borderId="4" xfId="0" applyFont="1" applyFill="1" applyBorder="1" applyAlignment="1"/>
    <xf numFmtId="49" fontId="2" fillId="5" borderId="5" xfId="0" applyNumberFormat="1" applyFont="1" applyFill="1" applyBorder="1" applyAlignment="1"/>
    <xf numFmtId="49" fontId="2" fillId="7" borderId="3" xfId="0" applyNumberFormat="1" applyFont="1" applyFill="1" applyBorder="1" applyAlignment="1"/>
    <xf numFmtId="0" fontId="2" fillId="7" borderId="6" xfId="0" applyFont="1" applyFill="1" applyBorder="1" applyAlignment="1"/>
    <xf numFmtId="49" fontId="0" fillId="8" borderId="7" xfId="0" applyNumberFormat="1" applyFont="1" applyFill="1" applyBorder="1" applyAlignment="1"/>
    <xf numFmtId="0" fontId="0" fillId="8" borderId="8" xfId="0" applyFont="1" applyFill="1" applyBorder="1" applyAlignment="1"/>
    <xf numFmtId="49" fontId="2" fillId="9" borderId="5" xfId="0" applyNumberFormat="1" applyFont="1" applyFill="1" applyBorder="1" applyAlignment="1"/>
    <xf numFmtId="49" fontId="5" fillId="2" borderId="9" xfId="0" applyNumberFormat="1" applyFont="1" applyFill="1" applyBorder="1" applyAlignment="1"/>
    <xf numFmtId="49" fontId="0" fillId="10" borderId="10" xfId="0" applyNumberFormat="1" applyFont="1" applyFill="1" applyBorder="1" applyAlignment="1"/>
    <xf numFmtId="49" fontId="0" fillId="10" borderId="11" xfId="0" applyNumberFormat="1" applyFont="1" applyFill="1" applyBorder="1" applyAlignment="1"/>
    <xf numFmtId="49" fontId="0" fillId="10" borderId="12" xfId="0" applyNumberFormat="1" applyFont="1" applyFill="1" applyBorder="1" applyAlignment="1"/>
    <xf numFmtId="49" fontId="0" fillId="10" borderId="13" xfId="0" applyNumberFormat="1" applyFont="1" applyFill="1" applyBorder="1" applyAlignment="1"/>
    <xf numFmtId="49" fontId="0" fillId="10" borderId="14" xfId="0" applyNumberFormat="1" applyFont="1" applyFill="1" applyBorder="1" applyAlignment="1"/>
    <xf numFmtId="49" fontId="0" fillId="10" borderId="15" xfId="0" applyNumberFormat="1" applyFont="1" applyFill="1" applyBorder="1" applyAlignment="1"/>
    <xf numFmtId="49" fontId="0" fillId="11" borderId="16" xfId="0" applyNumberFormat="1" applyFont="1" applyFill="1" applyBorder="1" applyAlignment="1"/>
    <xf numFmtId="0" fontId="0" fillId="12" borderId="17" xfId="0" applyFont="1" applyFill="1" applyBorder="1" applyAlignment="1"/>
    <xf numFmtId="0" fontId="0" fillId="12" borderId="18" xfId="0" applyFont="1" applyFill="1" applyBorder="1" applyAlignment="1"/>
    <xf numFmtId="0" fontId="0" fillId="12" borderId="19" xfId="0" applyFont="1" applyFill="1" applyBorder="1" applyAlignment="1"/>
    <xf numFmtId="164" fontId="0" fillId="12" borderId="20" xfId="0" applyNumberFormat="1" applyFont="1" applyFill="1" applyBorder="1" applyAlignment="1"/>
    <xf numFmtId="164" fontId="0" fillId="12" borderId="18" xfId="0" applyNumberFormat="1" applyFont="1" applyFill="1" applyBorder="1" applyAlignment="1"/>
    <xf numFmtId="164" fontId="0" fillId="12" borderId="21" xfId="0" applyNumberFormat="1" applyFont="1" applyFill="1" applyBorder="1" applyAlignment="1"/>
    <xf numFmtId="164" fontId="0" fillId="12" borderId="22" xfId="0" applyNumberFormat="1" applyFont="1" applyFill="1" applyBorder="1" applyAlignment="1"/>
    <xf numFmtId="0" fontId="0" fillId="12" borderId="18" xfId="0" applyNumberFormat="1" applyFont="1" applyFill="1" applyBorder="1" applyAlignment="1"/>
    <xf numFmtId="0" fontId="0" fillId="12" borderId="19" xfId="0" applyNumberFormat="1" applyFont="1" applyFill="1" applyBorder="1" applyAlignment="1"/>
    <xf numFmtId="2" fontId="0" fillId="12" borderId="18" xfId="0" applyNumberFormat="1" applyFont="1" applyFill="1" applyBorder="1" applyAlignment="1"/>
    <xf numFmtId="2" fontId="0" fillId="12" borderId="19" xfId="0" applyNumberFormat="1" applyFont="1" applyFill="1" applyBorder="1" applyAlignment="1"/>
    <xf numFmtId="0" fontId="1" fillId="12" borderId="17" xfId="0" applyNumberFormat="1" applyFont="1" applyFill="1" applyBorder="1" applyAlignment="1"/>
    <xf numFmtId="0" fontId="1" fillId="12" borderId="18" xfId="0" applyNumberFormat="1" applyFont="1" applyFill="1" applyBorder="1" applyAlignment="1"/>
    <xf numFmtId="0" fontId="0" fillId="12" borderId="17" xfId="0" applyNumberFormat="1" applyFont="1" applyFill="1" applyBorder="1" applyAlignment="1"/>
    <xf numFmtId="0" fontId="0" fillId="12" borderId="18" xfId="0" applyNumberFormat="1" applyFont="1" applyFill="1" applyBorder="1" applyAlignment="1">
      <alignment wrapText="1"/>
    </xf>
    <xf numFmtId="49" fontId="0" fillId="12" borderId="18" xfId="0" applyNumberFormat="1" applyFont="1" applyFill="1" applyBorder="1" applyAlignment="1"/>
    <xf numFmtId="164" fontId="7" fillId="12" borderId="18" xfId="0" applyNumberFormat="1" applyFont="1" applyFill="1" applyBorder="1" applyAlignment="1"/>
    <xf numFmtId="2" fontId="7" fillId="12" borderId="18" xfId="0" applyNumberFormat="1" applyFont="1" applyFill="1" applyBorder="1" applyAlignment="1"/>
    <xf numFmtId="2" fontId="7" fillId="12" borderId="19" xfId="0" applyNumberFormat="1" applyFont="1" applyFill="1" applyBorder="1" applyAlignment="1"/>
    <xf numFmtId="49" fontId="8" fillId="13" borderId="16" xfId="0" applyNumberFormat="1" applyFont="1" applyFill="1" applyBorder="1" applyAlignment="1"/>
    <xf numFmtId="0" fontId="0" fillId="13" borderId="17" xfId="0" applyFont="1" applyFill="1" applyBorder="1" applyAlignment="1"/>
    <xf numFmtId="0" fontId="0" fillId="13" borderId="18" xfId="0" applyFont="1" applyFill="1" applyBorder="1" applyAlignment="1"/>
    <xf numFmtId="0" fontId="8" fillId="13" borderId="18" xfId="0" applyFont="1" applyFill="1" applyBorder="1" applyAlignment="1"/>
    <xf numFmtId="0" fontId="8" fillId="13" borderId="19" xfId="0" applyFont="1" applyFill="1" applyBorder="1" applyAlignment="1"/>
    <xf numFmtId="164" fontId="0" fillId="13" borderId="20" xfId="0" applyNumberFormat="1" applyFont="1" applyFill="1" applyBorder="1" applyAlignment="1"/>
    <xf numFmtId="164" fontId="0" fillId="13" borderId="18" xfId="0" applyNumberFormat="1" applyFont="1" applyFill="1" applyBorder="1" applyAlignment="1"/>
    <xf numFmtId="164" fontId="8" fillId="13" borderId="21" xfId="0" applyNumberFormat="1" applyFont="1" applyFill="1" applyBorder="1" applyAlignment="1"/>
    <xf numFmtId="164" fontId="8" fillId="13" borderId="22" xfId="0" applyNumberFormat="1" applyFont="1" applyFill="1" applyBorder="1" applyAlignment="1"/>
    <xf numFmtId="0" fontId="8" fillId="13" borderId="18" xfId="0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F7F7F"/>
      <rgbColor rgb="FFBDC0BF"/>
      <rgbColor rgb="FFA7A7A7"/>
      <rgbColor rgb="FF006100"/>
      <rgbColor rgb="FFC6EFCE"/>
      <rgbColor rgb="FFAAAAAA"/>
      <rgbColor rgb="FF9C0006"/>
      <rgbColor rgb="FFFFC7CE"/>
      <rgbColor rgb="FFB8CCE4"/>
      <rgbColor rgb="FF9C6500"/>
      <rgbColor rgb="FFFFEB9C"/>
      <rgbColor rgb="FFC2D69B"/>
      <rgbColor rgb="FFFBD4B4"/>
      <rgbColor rgb="FF95B3D7"/>
      <rgbColor rgb="FFBDC0BF"/>
      <rgbColor rgb="FFDBDBDB"/>
      <rgbColor rgb="FFFFFFFF"/>
      <rgbColor rgb="FFFF0000"/>
      <rgbColor rgb="FFA5A5A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showGridLines="0" tabSelected="1" zoomScale="85" zoomScaleNormal="85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10.83203125" defaultRowHeight="15" customHeight="1" x14ac:dyDescent="0.35"/>
  <cols>
    <col min="1" max="1" width="33.83203125" style="1" customWidth="1"/>
    <col min="2" max="2" width="18.83203125" style="1" customWidth="1"/>
    <col min="3" max="3" width="18.33203125" style="1" customWidth="1"/>
    <col min="4" max="4" width="18.83203125" style="1" customWidth="1"/>
    <col min="5" max="7" width="18.33203125" style="1" customWidth="1"/>
    <col min="8" max="8" width="18.83203125" style="1" customWidth="1"/>
    <col min="9" max="9" width="18.33203125" style="1" customWidth="1"/>
    <col min="10" max="10" width="23.33203125" style="1" customWidth="1"/>
    <col min="11" max="11" width="18.5" style="1" customWidth="1"/>
    <col min="12" max="12" width="18.33203125" style="1" customWidth="1"/>
    <col min="13" max="13" width="15.6640625" style="1" customWidth="1"/>
    <col min="14" max="14" width="12.1640625" style="1" customWidth="1"/>
    <col min="15" max="15" width="28.1640625" style="1" customWidth="1"/>
    <col min="16" max="16" width="10.83203125" style="1" customWidth="1"/>
    <col min="17" max="16384" width="10.83203125" style="1"/>
  </cols>
  <sheetData>
    <row r="1" spans="1:15" ht="17" customHeight="1" x14ac:dyDescent="0.35">
      <c r="A1" s="2" t="s">
        <v>0</v>
      </c>
      <c r="B1" s="3" t="s">
        <v>1</v>
      </c>
      <c r="C1" s="4"/>
      <c r="D1" s="5" t="s">
        <v>2</v>
      </c>
      <c r="E1" s="6"/>
      <c r="F1" s="7" t="s">
        <v>3</v>
      </c>
      <c r="G1" s="8"/>
      <c r="H1" s="9" t="s">
        <v>4</v>
      </c>
      <c r="I1" s="10"/>
      <c r="J1" s="11" t="s">
        <v>3</v>
      </c>
      <c r="K1" s="12" t="s">
        <v>5</v>
      </c>
      <c r="L1" s="13"/>
      <c r="M1" s="14" t="s">
        <v>6</v>
      </c>
      <c r="N1" s="15"/>
      <c r="O1" s="16" t="s">
        <v>7</v>
      </c>
    </row>
    <row r="2" spans="1:15" ht="17" customHeight="1" x14ac:dyDescent="0.35">
      <c r="A2" s="17" t="s">
        <v>8</v>
      </c>
      <c r="B2" s="18" t="s">
        <v>9</v>
      </c>
      <c r="C2" s="19" t="s">
        <v>10</v>
      </c>
      <c r="D2" s="19" t="s">
        <v>9</v>
      </c>
      <c r="E2" s="19" t="s">
        <v>10</v>
      </c>
      <c r="F2" s="19" t="s">
        <v>9</v>
      </c>
      <c r="G2" s="19" t="s">
        <v>10</v>
      </c>
      <c r="H2" s="19" t="s">
        <v>9</v>
      </c>
      <c r="I2" s="20" t="s">
        <v>10</v>
      </c>
      <c r="J2" s="21" t="s">
        <v>11</v>
      </c>
      <c r="K2" s="19" t="s">
        <v>12</v>
      </c>
      <c r="L2" s="22" t="s">
        <v>13</v>
      </c>
      <c r="M2" s="23" t="s">
        <v>14</v>
      </c>
      <c r="N2" s="19" t="s">
        <v>15</v>
      </c>
      <c r="O2" s="19" t="s">
        <v>16</v>
      </c>
    </row>
    <row r="3" spans="1:15" ht="17" customHeight="1" x14ac:dyDescent="0.35">
      <c r="A3" s="24" t="s">
        <v>17</v>
      </c>
      <c r="B3" s="25"/>
      <c r="C3" s="26"/>
      <c r="D3" s="26"/>
      <c r="E3" s="26"/>
      <c r="F3" s="26"/>
      <c r="G3" s="26"/>
      <c r="H3" s="26"/>
      <c r="I3" s="27"/>
      <c r="J3" s="28"/>
      <c r="K3" s="29"/>
      <c r="L3" s="30"/>
      <c r="M3" s="31">
        <v>58.021040357142901</v>
      </c>
      <c r="N3" s="29">
        <v>4655</v>
      </c>
      <c r="O3" s="29">
        <v>40</v>
      </c>
    </row>
    <row r="4" spans="1:15" ht="17" customHeight="1" x14ac:dyDescent="0.35">
      <c r="A4" s="24" t="s">
        <v>18</v>
      </c>
      <c r="B4" s="25"/>
      <c r="C4" s="26"/>
      <c r="D4" s="26"/>
      <c r="E4" s="26"/>
      <c r="F4" s="26"/>
      <c r="G4" s="26"/>
      <c r="H4" s="26"/>
      <c r="I4" s="27"/>
      <c r="J4" s="28"/>
      <c r="K4" s="29"/>
      <c r="L4" s="30"/>
      <c r="M4" s="31">
        <v>52.84375</v>
      </c>
      <c r="N4" s="29">
        <v>6395</v>
      </c>
      <c r="O4" s="29">
        <v>7.4</v>
      </c>
    </row>
    <row r="5" spans="1:15" ht="17" customHeight="1" x14ac:dyDescent="0.35">
      <c r="A5" s="24" t="s">
        <v>19</v>
      </c>
      <c r="B5" s="25"/>
      <c r="C5" s="26"/>
      <c r="D5" s="26"/>
      <c r="E5" s="26"/>
      <c r="F5" s="26"/>
      <c r="G5" s="26"/>
      <c r="H5" s="26"/>
      <c r="I5" s="27"/>
      <c r="J5" s="28">
        <v>6.68333333333333</v>
      </c>
      <c r="K5" s="29">
        <v>52.719883040809002</v>
      </c>
      <c r="L5" s="30">
        <v>5596.65333333333</v>
      </c>
      <c r="M5" s="31">
        <v>52.6257902355201</v>
      </c>
      <c r="N5" s="29">
        <v>5382.5</v>
      </c>
      <c r="O5" s="29">
        <v>6.7</v>
      </c>
    </row>
    <row r="6" spans="1:15" ht="17" customHeight="1" x14ac:dyDescent="0.35">
      <c r="A6" s="24" t="s">
        <v>20</v>
      </c>
      <c r="B6" s="25"/>
      <c r="C6" s="26"/>
      <c r="D6" s="26"/>
      <c r="E6" s="26"/>
      <c r="F6" s="32">
        <v>43520</v>
      </c>
      <c r="G6" s="32">
        <v>28560</v>
      </c>
      <c r="H6" s="32">
        <f>F6</f>
        <v>43520</v>
      </c>
      <c r="I6" s="33">
        <f>G6</f>
        <v>28560</v>
      </c>
      <c r="J6" s="28">
        <v>15.5484375</v>
      </c>
      <c r="K6" s="29">
        <v>50.9079800933333</v>
      </c>
      <c r="L6" s="30">
        <v>6358.9966666666696</v>
      </c>
      <c r="M6" s="31">
        <v>49.876356773504298</v>
      </c>
      <c r="N6" s="29">
        <v>6250</v>
      </c>
      <c r="O6" s="29">
        <v>15.5</v>
      </c>
    </row>
    <row r="7" spans="1:15" ht="17" customHeight="1" x14ac:dyDescent="0.35">
      <c r="A7" s="24" t="s">
        <v>21</v>
      </c>
      <c r="B7" s="25"/>
      <c r="C7" s="26"/>
      <c r="D7" s="26"/>
      <c r="E7" s="26"/>
      <c r="F7" s="32">
        <v>49009</v>
      </c>
      <c r="G7" s="32">
        <v>31660</v>
      </c>
      <c r="H7" s="32">
        <f>F7</f>
        <v>49009</v>
      </c>
      <c r="I7" s="33">
        <f>G7</f>
        <v>31660</v>
      </c>
      <c r="J7" s="28">
        <v>6.9649999999999999</v>
      </c>
      <c r="K7" s="29">
        <v>56.570129625262503</v>
      </c>
      <c r="L7" s="30">
        <v>6247.35974358974</v>
      </c>
      <c r="M7" s="31">
        <v>55.222872136410103</v>
      </c>
      <c r="N7" s="29">
        <v>5950</v>
      </c>
      <c r="O7" s="29">
        <v>7</v>
      </c>
    </row>
    <row r="8" spans="1:15" ht="17" customHeight="1" x14ac:dyDescent="0.35">
      <c r="A8" s="24" t="s">
        <v>22</v>
      </c>
      <c r="B8" s="25"/>
      <c r="C8" s="26"/>
      <c r="D8" s="26"/>
      <c r="E8" s="26"/>
      <c r="F8" s="26"/>
      <c r="G8" s="26"/>
      <c r="H8" s="26"/>
      <c r="I8" s="27"/>
      <c r="J8" s="28"/>
      <c r="K8" s="29">
        <v>21.412652333333298</v>
      </c>
      <c r="L8" s="30">
        <v>1073.19</v>
      </c>
      <c r="M8" s="31">
        <v>20.668583333333299</v>
      </c>
      <c r="N8" s="29">
        <v>1205</v>
      </c>
      <c r="O8" s="29">
        <v>4.0999999999999996</v>
      </c>
    </row>
    <row r="9" spans="1:15" ht="17" customHeight="1" x14ac:dyDescent="0.35">
      <c r="A9" s="24" t="s">
        <v>23</v>
      </c>
      <c r="B9" s="25"/>
      <c r="C9" s="26"/>
      <c r="D9" s="34">
        <v>14646.57</v>
      </c>
      <c r="E9" s="34">
        <v>7632.45</v>
      </c>
      <c r="F9" s="26"/>
      <c r="G9" s="26"/>
      <c r="H9" s="34">
        <f>D9</f>
        <v>14646.57</v>
      </c>
      <c r="I9" s="35">
        <f>E9</f>
        <v>7632.45</v>
      </c>
      <c r="J9" s="28">
        <v>3.5</v>
      </c>
      <c r="K9" s="29">
        <v>16.7819583174436</v>
      </c>
      <c r="L9" s="30">
        <v>869.98</v>
      </c>
      <c r="M9" s="31">
        <v>16.298318306433899</v>
      </c>
      <c r="N9" s="29">
        <v>734.41508403361297</v>
      </c>
      <c r="O9" s="29">
        <v>3.5</v>
      </c>
    </row>
    <row r="10" spans="1:15" ht="17" customHeight="1" x14ac:dyDescent="0.35">
      <c r="A10" s="24" t="s">
        <v>24</v>
      </c>
      <c r="B10" s="36">
        <v>16195</v>
      </c>
      <c r="C10" s="37">
        <v>9950</v>
      </c>
      <c r="D10" s="34">
        <v>16920.080000000002</v>
      </c>
      <c r="E10" s="34">
        <v>9675.4699999999993</v>
      </c>
      <c r="F10" s="32">
        <f>AVERAGE(16195,11420)</f>
        <v>13807.5</v>
      </c>
      <c r="G10" s="32">
        <f>AVERAGE(9950,6970)</f>
        <v>8460</v>
      </c>
      <c r="H10" s="34">
        <f>(D10+F10)/2</f>
        <v>15363.79</v>
      </c>
      <c r="I10" s="35">
        <f>(E10+G10)/2</f>
        <v>9067.7350000000006</v>
      </c>
      <c r="J10" s="28">
        <v>3.5125000000000002</v>
      </c>
      <c r="K10" s="29">
        <v>17.213324157213901</v>
      </c>
      <c r="L10" s="30">
        <v>870.8</v>
      </c>
      <c r="M10" s="31">
        <v>16.8536062677281</v>
      </c>
      <c r="N10" s="29">
        <v>988.88333333333298</v>
      </c>
      <c r="O10" s="29">
        <v>3.5</v>
      </c>
    </row>
    <row r="11" spans="1:15" ht="17" customHeight="1" x14ac:dyDescent="0.35">
      <c r="A11" s="24" t="s">
        <v>25</v>
      </c>
      <c r="B11" s="25"/>
      <c r="C11" s="26"/>
      <c r="D11" s="26"/>
      <c r="E11" s="26"/>
      <c r="F11" s="26"/>
      <c r="G11" s="26"/>
      <c r="H11" s="26"/>
      <c r="I11" s="27"/>
      <c r="J11" s="28"/>
      <c r="K11" s="29">
        <v>7.1705634301914003</v>
      </c>
      <c r="L11" s="30">
        <v>239.33666666666701</v>
      </c>
      <c r="M11" s="31">
        <v>6.9213932723855196</v>
      </c>
      <c r="N11" s="29">
        <v>309</v>
      </c>
      <c r="O11" s="29">
        <v>1</v>
      </c>
    </row>
    <row r="12" spans="1:15" ht="17" customHeight="1" x14ac:dyDescent="0.35">
      <c r="A12" s="24" t="s">
        <v>26</v>
      </c>
      <c r="B12" s="25"/>
      <c r="C12" s="26"/>
      <c r="D12" s="26"/>
      <c r="E12" s="26"/>
      <c r="F12" s="26"/>
      <c r="G12" s="26"/>
      <c r="H12" s="26"/>
      <c r="I12" s="27"/>
      <c r="J12" s="28"/>
      <c r="K12" s="29">
        <v>118.575873729688</v>
      </c>
      <c r="L12" s="30">
        <v>6409.14</v>
      </c>
      <c r="M12" s="31">
        <v>117.018608977575</v>
      </c>
      <c r="N12" s="29">
        <v>8167.2142857142899</v>
      </c>
      <c r="O12" s="29">
        <v>22</v>
      </c>
    </row>
    <row r="13" spans="1:15" ht="17" customHeight="1" x14ac:dyDescent="0.35">
      <c r="A13" s="24" t="s">
        <v>27</v>
      </c>
      <c r="B13" s="25"/>
      <c r="C13" s="26"/>
      <c r="D13" s="34">
        <v>104988.09</v>
      </c>
      <c r="E13" s="34">
        <v>53484.99</v>
      </c>
      <c r="F13" s="26"/>
      <c r="G13" s="26"/>
      <c r="H13" s="34">
        <f>D13</f>
        <v>104988.09</v>
      </c>
      <c r="I13" s="35">
        <f>E13</f>
        <v>53484.99</v>
      </c>
      <c r="J13" s="28">
        <v>5</v>
      </c>
      <c r="K13" s="29">
        <v>114.587424076923</v>
      </c>
      <c r="L13" s="30">
        <v>8033.97</v>
      </c>
      <c r="M13" s="31">
        <v>114.238958333333</v>
      </c>
      <c r="N13" s="29">
        <v>9025</v>
      </c>
      <c r="O13" s="29">
        <v>5</v>
      </c>
    </row>
    <row r="14" spans="1:15" ht="17" customHeight="1" x14ac:dyDescent="0.35">
      <c r="A14" s="24" t="s">
        <v>28</v>
      </c>
      <c r="B14" s="36">
        <v>101034</v>
      </c>
      <c r="C14" s="37">
        <v>70856</v>
      </c>
      <c r="D14" s="26"/>
      <c r="E14" s="26"/>
      <c r="F14" s="32">
        <f>AVERAGE(101034,72410)</f>
        <v>86722</v>
      </c>
      <c r="G14" s="32">
        <f>AVERAGE(70856,48880)</f>
        <v>59868</v>
      </c>
      <c r="H14" s="32">
        <f>F14</f>
        <v>86722</v>
      </c>
      <c r="I14" s="33">
        <f>G14</f>
        <v>59868</v>
      </c>
      <c r="J14" s="28">
        <v>28.0178571428571</v>
      </c>
      <c r="K14" s="29">
        <v>108.53500063110801</v>
      </c>
      <c r="L14" s="30">
        <v>6711.8</v>
      </c>
      <c r="M14" s="31">
        <v>105.087198114096</v>
      </c>
      <c r="N14" s="29">
        <v>7535</v>
      </c>
      <c r="O14" s="29">
        <v>28</v>
      </c>
    </row>
    <row r="15" spans="1:15" ht="17" customHeight="1" x14ac:dyDescent="0.35">
      <c r="A15" s="24" t="s">
        <v>29</v>
      </c>
      <c r="B15" s="25"/>
      <c r="C15" s="26"/>
      <c r="D15" s="26"/>
      <c r="E15" s="26"/>
      <c r="F15" s="26"/>
      <c r="G15" s="26"/>
      <c r="H15" s="26"/>
      <c r="I15" s="27"/>
      <c r="J15" s="28">
        <v>25.5</v>
      </c>
      <c r="K15" s="29">
        <v>105.94103448275899</v>
      </c>
      <c r="L15" s="30">
        <v>7789.5277777777801</v>
      </c>
      <c r="M15" s="31">
        <v>103.85</v>
      </c>
      <c r="N15" s="29">
        <v>8280</v>
      </c>
      <c r="O15" s="29">
        <v>25.5</v>
      </c>
    </row>
    <row r="16" spans="1:15" ht="17" customHeight="1" x14ac:dyDescent="0.35">
      <c r="A16" s="24" t="s">
        <v>30</v>
      </c>
      <c r="B16" s="38">
        <v>9798</v>
      </c>
      <c r="C16" s="32">
        <v>4813</v>
      </c>
      <c r="D16" s="26"/>
      <c r="E16" s="26"/>
      <c r="F16" s="37">
        <v>9798</v>
      </c>
      <c r="G16" s="37">
        <v>4813</v>
      </c>
      <c r="H16" s="32">
        <f>B16</f>
        <v>9798</v>
      </c>
      <c r="I16" s="33">
        <f>C16</f>
        <v>4813</v>
      </c>
      <c r="J16" s="28">
        <v>2.6666666666666701</v>
      </c>
      <c r="K16" s="29">
        <v>10.251355343749999</v>
      </c>
      <c r="L16" s="30">
        <v>1300</v>
      </c>
      <c r="M16" s="31">
        <v>9.8622232142857094</v>
      </c>
      <c r="N16" s="29">
        <v>1206.5</v>
      </c>
      <c r="O16" s="29">
        <v>2.7</v>
      </c>
    </row>
    <row r="17" spans="1:15" ht="17" customHeight="1" x14ac:dyDescent="0.35">
      <c r="A17" s="24" t="s">
        <v>31</v>
      </c>
      <c r="B17" s="25"/>
      <c r="C17" s="26"/>
      <c r="D17" s="26"/>
      <c r="E17" s="26"/>
      <c r="F17" s="26"/>
      <c r="G17" s="26"/>
      <c r="H17" s="26"/>
      <c r="I17" s="27"/>
      <c r="J17" s="28"/>
      <c r="K17" s="29">
        <v>120.1</v>
      </c>
      <c r="L17" s="30">
        <v>9247.5</v>
      </c>
      <c r="M17" s="31">
        <v>116.71899999999999</v>
      </c>
      <c r="N17" s="29">
        <v>8840</v>
      </c>
      <c r="O17" s="29">
        <v>19.2</v>
      </c>
    </row>
    <row r="18" spans="1:15" ht="17" customHeight="1" x14ac:dyDescent="0.35">
      <c r="A18" s="24" t="s">
        <v>32</v>
      </c>
      <c r="B18" s="25"/>
      <c r="C18" s="26"/>
      <c r="D18" s="26"/>
      <c r="E18" s="26"/>
      <c r="F18" s="26"/>
      <c r="G18" s="26"/>
      <c r="H18" s="26"/>
      <c r="I18" s="27"/>
      <c r="J18" s="28"/>
      <c r="K18" s="29">
        <v>114.66484995399</v>
      </c>
      <c r="L18" s="30">
        <v>6787</v>
      </c>
      <c r="M18" s="31">
        <v>110.680357098446</v>
      </c>
      <c r="N18" s="29">
        <v>6728.25</v>
      </c>
      <c r="O18" s="29">
        <v>3.6</v>
      </c>
    </row>
    <row r="19" spans="1:15" ht="17" customHeight="1" x14ac:dyDescent="0.35">
      <c r="A19" s="24" t="s">
        <v>33</v>
      </c>
      <c r="B19" s="25"/>
      <c r="C19" s="26"/>
      <c r="D19" s="26"/>
      <c r="E19" s="26"/>
      <c r="F19" s="26"/>
      <c r="G19" s="26"/>
      <c r="H19" s="26"/>
      <c r="I19" s="27"/>
      <c r="J19" s="28"/>
      <c r="K19" s="29">
        <v>73.3</v>
      </c>
      <c r="L19" s="30">
        <v>3293.02</v>
      </c>
      <c r="M19" s="31">
        <v>76</v>
      </c>
      <c r="N19" s="29">
        <v>3165</v>
      </c>
      <c r="O19" s="29">
        <v>30</v>
      </c>
    </row>
    <row r="20" spans="1:15" ht="17" customHeight="1" x14ac:dyDescent="0.35">
      <c r="A20" s="24" t="s">
        <v>34</v>
      </c>
      <c r="B20" s="25"/>
      <c r="C20" s="26"/>
      <c r="D20" s="26"/>
      <c r="E20" s="26"/>
      <c r="F20" s="26"/>
      <c r="G20" s="26"/>
      <c r="H20" s="26"/>
      <c r="I20" s="27"/>
      <c r="J20" s="28"/>
      <c r="K20" s="29"/>
      <c r="L20" s="30"/>
      <c r="M20" s="31">
        <v>68.765918122667898</v>
      </c>
      <c r="N20" s="29">
        <v>2935</v>
      </c>
      <c r="O20" s="29">
        <v>30</v>
      </c>
    </row>
    <row r="21" spans="1:15" ht="17" customHeight="1" x14ac:dyDescent="0.35">
      <c r="A21" s="24" t="s">
        <v>35</v>
      </c>
      <c r="B21" s="38">
        <v>17944</v>
      </c>
      <c r="C21" s="32">
        <v>11163</v>
      </c>
      <c r="D21" s="26"/>
      <c r="E21" s="26"/>
      <c r="F21" s="32">
        <f>AVERAGE(14434,11900)</f>
        <v>13167</v>
      </c>
      <c r="G21" s="39">
        <f>AVERAGE(8973,7060)</f>
        <v>8016.5</v>
      </c>
      <c r="H21" s="32">
        <f>AVERAGE(B21,F21)</f>
        <v>15555.5</v>
      </c>
      <c r="I21" s="33">
        <f>AVERAGE(C21,G21)</f>
        <v>9589.75</v>
      </c>
      <c r="J21" s="28">
        <v>3.3666666666666698</v>
      </c>
      <c r="K21" s="29">
        <v>17.725000000000001</v>
      </c>
      <c r="L21" s="30">
        <v>883.805238095238</v>
      </c>
      <c r="M21" s="31"/>
      <c r="N21" s="29"/>
      <c r="O21" s="41">
        <v>3.3666666666666698</v>
      </c>
    </row>
    <row r="22" spans="1:15" ht="17" customHeight="1" x14ac:dyDescent="0.35">
      <c r="A22" s="24" t="s">
        <v>36</v>
      </c>
      <c r="B22" s="38">
        <v>10510</v>
      </c>
      <c r="C22" s="32">
        <v>6476</v>
      </c>
      <c r="D22" s="34">
        <v>12112.34</v>
      </c>
      <c r="E22" s="34">
        <v>6191.43</v>
      </c>
      <c r="F22" s="37">
        <v>10510</v>
      </c>
      <c r="G22" s="37">
        <v>6476</v>
      </c>
      <c r="H22" s="34">
        <f>AVERAGE(B22,D22)</f>
        <v>11311.17</v>
      </c>
      <c r="I22" s="35">
        <f>AVERAGE(C22,E22)</f>
        <v>6333.7150000000001</v>
      </c>
      <c r="J22" s="28">
        <v>6.5</v>
      </c>
      <c r="K22" s="29">
        <v>11.751886923076899</v>
      </c>
      <c r="L22" s="30">
        <v>538.5</v>
      </c>
      <c r="M22" s="31">
        <v>11.431749999999999</v>
      </c>
      <c r="N22" s="29">
        <v>483.5</v>
      </c>
      <c r="O22" s="29">
        <v>6.5</v>
      </c>
    </row>
    <row r="23" spans="1:15" ht="17" customHeight="1" x14ac:dyDescent="0.35">
      <c r="A23" s="24" t="s">
        <v>37</v>
      </c>
      <c r="B23" s="25"/>
      <c r="C23" s="26"/>
      <c r="D23" s="26"/>
      <c r="E23" s="26"/>
      <c r="F23" s="26"/>
      <c r="G23" s="26"/>
      <c r="H23" s="26"/>
      <c r="I23" s="27"/>
      <c r="J23" s="28"/>
      <c r="K23" s="29">
        <v>8.0458053317333302</v>
      </c>
      <c r="L23" s="30">
        <v>361.12333333333299</v>
      </c>
      <c r="M23" s="31">
        <v>7.9509576166666696</v>
      </c>
      <c r="N23" s="29">
        <v>345</v>
      </c>
      <c r="O23" s="29">
        <v>9.5</v>
      </c>
    </row>
    <row r="24" spans="1:15" ht="17" customHeight="1" x14ac:dyDescent="0.35">
      <c r="A24" s="24" t="s">
        <v>38</v>
      </c>
      <c r="B24" s="25"/>
      <c r="C24" s="26"/>
      <c r="D24" s="34">
        <v>7098.63</v>
      </c>
      <c r="E24" s="34">
        <v>4057.73</v>
      </c>
      <c r="F24" s="26"/>
      <c r="G24" s="26"/>
      <c r="H24" s="34">
        <f>D24</f>
        <v>7098.63</v>
      </c>
      <c r="I24" s="35">
        <f>E24</f>
        <v>4057.73</v>
      </c>
      <c r="J24" s="28">
        <v>9</v>
      </c>
      <c r="K24" s="29">
        <v>8.6428571428571406</v>
      </c>
      <c r="L24" s="30">
        <v>342</v>
      </c>
      <c r="M24" s="31"/>
      <c r="N24" s="29"/>
      <c r="O24" s="41">
        <v>9</v>
      </c>
    </row>
    <row r="25" spans="1:15" ht="17" customHeight="1" x14ac:dyDescent="0.35">
      <c r="A25" s="24" t="s">
        <v>39</v>
      </c>
      <c r="B25" s="38">
        <v>7241</v>
      </c>
      <c r="C25" s="32">
        <v>4371</v>
      </c>
      <c r="D25" s="34">
        <v>8124.76</v>
      </c>
      <c r="E25" s="34">
        <v>4541.9799999999996</v>
      </c>
      <c r="F25" s="37">
        <v>7241</v>
      </c>
      <c r="G25" s="37">
        <v>4371</v>
      </c>
      <c r="H25" s="34">
        <f>AVERAGE(B25,D25)</f>
        <v>7682.88</v>
      </c>
      <c r="I25" s="35">
        <f>AVERAGE(C25,E25)</f>
        <v>4456.49</v>
      </c>
      <c r="J25" s="28">
        <v>7.87777777777778</v>
      </c>
      <c r="K25" s="29">
        <v>7.6436136074482803</v>
      </c>
      <c r="L25" s="30">
        <v>272.70499999999998</v>
      </c>
      <c r="M25" s="31">
        <v>7.2411510000000003</v>
      </c>
      <c r="N25" s="29">
        <v>320</v>
      </c>
      <c r="O25" s="29">
        <v>7.9</v>
      </c>
    </row>
    <row r="26" spans="1:15" ht="17" customHeight="1" x14ac:dyDescent="0.35">
      <c r="A26" s="24" t="s">
        <v>40</v>
      </c>
      <c r="B26" s="25"/>
      <c r="C26" s="26"/>
      <c r="D26" s="34">
        <v>6335.88</v>
      </c>
      <c r="E26" s="34">
        <v>3264.95</v>
      </c>
      <c r="F26" s="26"/>
      <c r="G26" s="26"/>
      <c r="H26" s="34">
        <f>D26</f>
        <v>6335.88</v>
      </c>
      <c r="I26" s="35">
        <f>E26</f>
        <v>3264.95</v>
      </c>
      <c r="J26" s="28">
        <v>6.6</v>
      </c>
      <c r="K26" s="29">
        <v>7.5547744209410004</v>
      </c>
      <c r="L26" s="30">
        <v>323.49</v>
      </c>
      <c r="M26" s="31">
        <v>7.3167069880781401</v>
      </c>
      <c r="N26" s="29">
        <v>327.732142857143</v>
      </c>
      <c r="O26" s="29">
        <v>6.6</v>
      </c>
    </row>
    <row r="27" spans="1:15" ht="17" customHeight="1" x14ac:dyDescent="0.35">
      <c r="A27" s="24" t="s">
        <v>41</v>
      </c>
      <c r="B27" s="38">
        <v>4302</v>
      </c>
      <c r="C27" s="32">
        <v>2535</v>
      </c>
      <c r="D27" s="34">
        <v>4308.33</v>
      </c>
      <c r="E27" s="34">
        <v>2241.11</v>
      </c>
      <c r="F27" s="37">
        <v>4302</v>
      </c>
      <c r="G27" s="37">
        <v>2535</v>
      </c>
      <c r="H27" s="34">
        <f>AVERAGE(B27,D27)</f>
        <v>4305.165</v>
      </c>
      <c r="I27" s="35">
        <f>AVERAGE(C27,E27)</f>
        <v>2388.0550000000003</v>
      </c>
      <c r="J27" s="28">
        <v>5.6285714285714299</v>
      </c>
      <c r="K27" s="29">
        <v>4.4520870639999996</v>
      </c>
      <c r="L27" s="30">
        <v>125.81333333333301</v>
      </c>
      <c r="M27" s="31">
        <v>4.1733405833333297</v>
      </c>
      <c r="N27" s="29">
        <v>116</v>
      </c>
      <c r="O27" s="29">
        <v>5.6</v>
      </c>
    </row>
    <row r="28" spans="1:15" ht="17" customHeight="1" x14ac:dyDescent="0.35">
      <c r="A28" s="24" t="s">
        <v>42</v>
      </c>
      <c r="B28" s="25"/>
      <c r="C28" s="26"/>
      <c r="D28" s="26"/>
      <c r="E28" s="26"/>
      <c r="F28" s="32">
        <v>66939</v>
      </c>
      <c r="G28" s="32">
        <v>46429</v>
      </c>
      <c r="H28" s="32">
        <f>F28</f>
        <v>66939</v>
      </c>
      <c r="I28" s="33">
        <f>G28</f>
        <v>46429</v>
      </c>
      <c r="J28" s="28">
        <v>21.125</v>
      </c>
      <c r="K28" s="29">
        <v>64.714803098560296</v>
      </c>
      <c r="L28" s="30">
        <v>2535.56</v>
      </c>
      <c r="M28" s="31">
        <v>65.452745289239999</v>
      </c>
      <c r="N28" s="29">
        <v>2735</v>
      </c>
      <c r="O28" s="29">
        <v>21.1</v>
      </c>
    </row>
    <row r="29" spans="1:15" ht="17" customHeight="1" x14ac:dyDescent="0.35">
      <c r="A29" s="24" t="s">
        <v>43</v>
      </c>
      <c r="B29" s="25"/>
      <c r="C29" s="26"/>
      <c r="D29" s="34">
        <v>74229.03</v>
      </c>
      <c r="E29" s="34">
        <v>37879.4</v>
      </c>
      <c r="F29" s="32">
        <v>66500</v>
      </c>
      <c r="G29" s="32">
        <v>45000</v>
      </c>
      <c r="H29" s="34">
        <f>AVERAGE(D29,F29)</f>
        <v>70364.514999999999</v>
      </c>
      <c r="I29" s="35">
        <f>AVERAGE(E29,G29)</f>
        <v>41439.699999999997</v>
      </c>
      <c r="J29" s="28">
        <v>12.06</v>
      </c>
      <c r="K29" s="29">
        <v>68.7471450792724</v>
      </c>
      <c r="L29" s="30">
        <v>2669.21</v>
      </c>
      <c r="M29" s="31">
        <v>66.631365198259502</v>
      </c>
      <c r="N29" s="29">
        <v>2935.93236714976</v>
      </c>
      <c r="O29" s="29">
        <v>12.1</v>
      </c>
    </row>
    <row r="30" spans="1:15" ht="17" customHeight="1" x14ac:dyDescent="0.35">
      <c r="A30" s="24" t="s">
        <v>44</v>
      </c>
      <c r="B30" s="25"/>
      <c r="C30" s="26"/>
      <c r="D30" s="26"/>
      <c r="E30" s="26"/>
      <c r="F30" s="26"/>
      <c r="G30" s="26"/>
      <c r="H30" s="26"/>
      <c r="I30" s="27"/>
      <c r="J30" s="28"/>
      <c r="K30" s="29">
        <v>73.786156717728801</v>
      </c>
      <c r="L30" s="30">
        <v>2798.10777777778</v>
      </c>
      <c r="M30" s="31">
        <v>72.926007906417595</v>
      </c>
      <c r="N30" s="29">
        <v>2861.1323529411802</v>
      </c>
      <c r="O30" s="29">
        <v>21</v>
      </c>
    </row>
    <row r="31" spans="1:15" ht="17" customHeight="1" x14ac:dyDescent="0.35">
      <c r="A31" s="24" t="s">
        <v>45</v>
      </c>
      <c r="B31" s="25"/>
      <c r="C31" s="26"/>
      <c r="D31" s="26"/>
      <c r="E31" s="26"/>
      <c r="F31" s="26"/>
      <c r="G31" s="26"/>
      <c r="H31" s="26"/>
      <c r="I31" s="27"/>
      <c r="J31" s="28"/>
      <c r="K31" s="29">
        <v>72.962887224708993</v>
      </c>
      <c r="L31" s="30">
        <v>2646.88</v>
      </c>
      <c r="M31" s="31">
        <v>69.836774492046004</v>
      </c>
      <c r="N31" s="29">
        <v>2931.2666666666701</v>
      </c>
      <c r="O31" s="29">
        <v>17.100000000000001</v>
      </c>
    </row>
    <row r="32" spans="1:15" ht="17" customHeight="1" x14ac:dyDescent="0.35">
      <c r="A32" s="24" t="s">
        <v>46</v>
      </c>
      <c r="B32" s="25"/>
      <c r="C32" s="26"/>
      <c r="D32" s="26"/>
      <c r="E32" s="26"/>
      <c r="F32" s="26"/>
      <c r="G32" s="26"/>
      <c r="H32" s="26"/>
      <c r="I32" s="27"/>
      <c r="J32" s="28">
        <v>15</v>
      </c>
      <c r="K32" s="29">
        <v>118.3199845</v>
      </c>
      <c r="L32" s="30">
        <v>7552.81</v>
      </c>
      <c r="M32" s="31"/>
      <c r="N32" s="29"/>
      <c r="O32" s="41">
        <v>15</v>
      </c>
    </row>
    <row r="33" spans="1:15" ht="17" customHeight="1" x14ac:dyDescent="0.35">
      <c r="A33" s="24" t="s">
        <v>47</v>
      </c>
      <c r="B33" s="25"/>
      <c r="C33" s="26"/>
      <c r="D33" s="26"/>
      <c r="E33" s="26"/>
      <c r="F33" s="26"/>
      <c r="G33" s="26"/>
      <c r="H33" s="26"/>
      <c r="I33" s="27"/>
      <c r="J33" s="28"/>
      <c r="K33" s="29">
        <v>111.433793901565</v>
      </c>
      <c r="L33" s="30">
        <v>8239.80111111111</v>
      </c>
      <c r="M33" s="31">
        <v>105.988334567763</v>
      </c>
      <c r="N33" s="29">
        <v>7485</v>
      </c>
      <c r="O33" s="29">
        <v>4</v>
      </c>
    </row>
    <row r="34" spans="1:15" ht="17" customHeight="1" x14ac:dyDescent="0.35">
      <c r="A34" s="24" t="s">
        <v>48</v>
      </c>
      <c r="B34" s="25"/>
      <c r="C34" s="26"/>
      <c r="D34" s="26"/>
      <c r="E34" s="26"/>
      <c r="F34" s="32">
        <f>AVERAGE(117080,98900)</f>
        <v>107990</v>
      </c>
      <c r="G34" s="32">
        <f>AVERAGE(88280,63900)</f>
        <v>76090</v>
      </c>
      <c r="H34" s="32">
        <f>F34</f>
        <v>107990</v>
      </c>
      <c r="I34" s="33">
        <f>G34</f>
        <v>76090</v>
      </c>
      <c r="J34" s="28">
        <v>95</v>
      </c>
      <c r="K34" s="29">
        <v>99.805928571428595</v>
      </c>
      <c r="L34" s="30">
        <v>7770.62</v>
      </c>
      <c r="M34" s="31">
        <v>94.674999999999997</v>
      </c>
      <c r="N34" s="29">
        <v>8600</v>
      </c>
      <c r="O34" s="29">
        <v>95</v>
      </c>
    </row>
    <row r="35" spans="1:15" ht="17" customHeight="1" x14ac:dyDescent="0.35">
      <c r="A35" s="24" t="s">
        <v>49</v>
      </c>
      <c r="B35" s="38">
        <v>63505</v>
      </c>
      <c r="C35" s="32">
        <v>45166</v>
      </c>
      <c r="D35" s="26"/>
      <c r="E35" s="26"/>
      <c r="F35" s="37">
        <v>63505</v>
      </c>
      <c r="G35" s="37">
        <v>45166</v>
      </c>
      <c r="H35" s="32">
        <f>B35</f>
        <v>63505</v>
      </c>
      <c r="I35" s="33">
        <f>C35</f>
        <v>45166</v>
      </c>
      <c r="J35" s="28">
        <v>26.293749999999999</v>
      </c>
      <c r="K35" s="29">
        <v>63.615335381166297</v>
      </c>
      <c r="L35" s="30">
        <v>4156.7466666666696</v>
      </c>
      <c r="M35" s="31">
        <v>59.575477082891702</v>
      </c>
      <c r="N35" s="29">
        <v>3714.2916666666702</v>
      </c>
      <c r="O35" s="29">
        <v>26.3</v>
      </c>
    </row>
    <row r="36" spans="1:15" ht="17" customHeight="1" x14ac:dyDescent="0.35">
      <c r="A36" s="24" t="s">
        <v>50</v>
      </c>
      <c r="B36" s="25"/>
      <c r="C36" s="26"/>
      <c r="D36" s="26"/>
      <c r="E36" s="26"/>
      <c r="F36" s="26"/>
      <c r="G36" s="26"/>
      <c r="H36" s="26"/>
      <c r="I36" s="27"/>
      <c r="J36" s="28"/>
      <c r="K36" s="29">
        <v>58.981959923757003</v>
      </c>
      <c r="L36" s="30">
        <v>3775.91</v>
      </c>
      <c r="M36" s="31">
        <v>57.386266587124602</v>
      </c>
      <c r="N36" s="29">
        <v>3600</v>
      </c>
      <c r="O36" s="29">
        <v>14</v>
      </c>
    </row>
    <row r="37" spans="1:15" ht="17" customHeight="1" x14ac:dyDescent="0.35">
      <c r="A37" s="24" t="s">
        <v>51</v>
      </c>
      <c r="B37" s="25"/>
      <c r="C37" s="26"/>
      <c r="D37" s="26"/>
      <c r="E37" s="26"/>
      <c r="F37" s="26"/>
      <c r="G37" s="26"/>
      <c r="H37" s="26"/>
      <c r="I37" s="27"/>
      <c r="J37" s="28"/>
      <c r="K37" s="29">
        <v>67.925075501234602</v>
      </c>
      <c r="L37" s="30">
        <v>3516.6266666666702</v>
      </c>
      <c r="M37" s="31">
        <v>65.264962820512807</v>
      </c>
      <c r="N37" s="29">
        <v>3585</v>
      </c>
      <c r="O37" s="29">
        <v>11</v>
      </c>
    </row>
    <row r="38" spans="1:15" ht="17" customHeight="1" x14ac:dyDescent="0.35">
      <c r="A38" s="24" t="s">
        <v>52</v>
      </c>
      <c r="B38" s="25"/>
      <c r="C38" s="26"/>
      <c r="D38" s="26"/>
      <c r="E38" s="26"/>
      <c r="F38" s="26"/>
      <c r="G38" s="26"/>
      <c r="H38" s="26"/>
      <c r="I38" s="27"/>
      <c r="J38" s="28"/>
      <c r="K38" s="29">
        <v>64.862233333333407</v>
      </c>
      <c r="L38" s="30">
        <v>4519.63666666667</v>
      </c>
      <c r="M38" s="31">
        <v>62.608333333333299</v>
      </c>
      <c r="N38" s="29">
        <v>4550</v>
      </c>
      <c r="O38" s="29">
        <v>23</v>
      </c>
    </row>
    <row r="39" spans="1:15" ht="17" customHeight="1" x14ac:dyDescent="0.35">
      <c r="A39" s="24" t="s">
        <v>53</v>
      </c>
      <c r="B39" s="25"/>
      <c r="C39" s="26"/>
      <c r="D39" s="34">
        <v>70315.19</v>
      </c>
      <c r="E39" s="34">
        <v>35766.25</v>
      </c>
      <c r="F39" s="26"/>
      <c r="G39" s="26"/>
      <c r="H39" s="34">
        <f>D39</f>
        <v>70315.19</v>
      </c>
      <c r="I39" s="35">
        <f>E39</f>
        <v>35766.25</v>
      </c>
      <c r="J39" s="28">
        <v>10</v>
      </c>
      <c r="K39" s="29"/>
      <c r="L39" s="30"/>
      <c r="M39" s="31"/>
      <c r="N39" s="29"/>
      <c r="O39" s="41">
        <v>10</v>
      </c>
    </row>
    <row r="40" spans="1:15" ht="17" customHeight="1" x14ac:dyDescent="0.35">
      <c r="A40" s="24" t="s">
        <v>54</v>
      </c>
      <c r="B40" s="25"/>
      <c r="C40" s="26"/>
      <c r="D40" s="26"/>
      <c r="E40" s="26"/>
      <c r="F40" s="26"/>
      <c r="G40" s="26"/>
      <c r="H40" s="26"/>
      <c r="I40" s="27"/>
      <c r="J40" s="28"/>
      <c r="K40" s="29">
        <v>76</v>
      </c>
      <c r="L40" s="30">
        <v>5003.7349999999997</v>
      </c>
      <c r="M40" s="31">
        <v>74.2</v>
      </c>
      <c r="N40" s="29">
        <v>4710</v>
      </c>
      <c r="O40" s="29">
        <v>17.399999999999999</v>
      </c>
    </row>
    <row r="41" spans="1:15" ht="17" customHeight="1" x14ac:dyDescent="0.35">
      <c r="A41" s="24" t="s">
        <v>55</v>
      </c>
      <c r="B41" s="38">
        <v>70564</v>
      </c>
      <c r="C41" s="32">
        <v>49933</v>
      </c>
      <c r="D41" s="34">
        <v>66443.850000000006</v>
      </c>
      <c r="E41" s="34">
        <v>34895.379999999997</v>
      </c>
      <c r="F41" s="37">
        <v>70564</v>
      </c>
      <c r="G41" s="37">
        <v>49933</v>
      </c>
      <c r="H41" s="34">
        <f>AVERAGE(B41,D41)</f>
        <v>68503.925000000003</v>
      </c>
      <c r="I41" s="35">
        <f>AVERAGE(C41,E41)</f>
        <v>42414.19</v>
      </c>
      <c r="J41" s="28">
        <v>21.274999999999999</v>
      </c>
      <c r="K41" s="29">
        <v>73.959439375623006</v>
      </c>
      <c r="L41" s="30">
        <v>6335.43</v>
      </c>
      <c r="M41" s="31">
        <v>71.333620127458005</v>
      </c>
      <c r="N41" s="29">
        <v>6109.3125</v>
      </c>
      <c r="O41" s="29">
        <v>21.3</v>
      </c>
    </row>
    <row r="42" spans="1:15" ht="17" customHeight="1" x14ac:dyDescent="0.35">
      <c r="A42" s="24" t="s">
        <v>56</v>
      </c>
      <c r="B42" s="25"/>
      <c r="C42" s="26"/>
      <c r="D42" s="26"/>
      <c r="E42" s="26"/>
      <c r="F42" s="26"/>
      <c r="G42" s="26"/>
      <c r="H42" s="26"/>
      <c r="I42" s="27"/>
      <c r="J42" s="28"/>
      <c r="K42" s="29">
        <v>67.542995895699704</v>
      </c>
      <c r="L42" s="30">
        <v>5589.84</v>
      </c>
      <c r="M42" s="31">
        <v>65.973314016848605</v>
      </c>
      <c r="N42" s="29">
        <v>5450</v>
      </c>
      <c r="O42" s="29">
        <v>5</v>
      </c>
    </row>
    <row r="43" spans="1:15" ht="17" customHeight="1" x14ac:dyDescent="0.35">
      <c r="A43" s="24" t="s">
        <v>57</v>
      </c>
      <c r="B43" s="25"/>
      <c r="C43" s="26"/>
      <c r="D43" s="34">
        <v>73183.47</v>
      </c>
      <c r="E43" s="34">
        <v>37132.31</v>
      </c>
      <c r="F43" s="32">
        <v>64740</v>
      </c>
      <c r="G43" s="32">
        <v>47800</v>
      </c>
      <c r="H43" s="34">
        <f>AVERAGE(D43,F43)</f>
        <v>68961.735000000001</v>
      </c>
      <c r="I43" s="35">
        <f>AVERAGE(E43,G43)</f>
        <v>42466.154999999999</v>
      </c>
      <c r="J43" s="28">
        <v>18.25</v>
      </c>
      <c r="K43" s="29">
        <v>73.685500000000005</v>
      </c>
      <c r="L43" s="30">
        <v>5178.13666666667</v>
      </c>
      <c r="M43" s="31">
        <v>71.125</v>
      </c>
      <c r="N43" s="29">
        <v>5465</v>
      </c>
      <c r="O43" s="29">
        <v>18.3</v>
      </c>
    </row>
    <row r="44" spans="1:15" ht="17" customHeight="1" x14ac:dyDescent="0.35">
      <c r="A44" s="24" t="s">
        <v>58</v>
      </c>
      <c r="B44" s="25"/>
      <c r="C44" s="26"/>
      <c r="D44" s="26"/>
      <c r="E44" s="26"/>
      <c r="F44" s="26"/>
      <c r="G44" s="26"/>
      <c r="H44" s="26"/>
      <c r="I44" s="27"/>
      <c r="J44" s="28"/>
      <c r="K44" s="29"/>
      <c r="L44" s="30"/>
      <c r="M44" s="31">
        <v>55.076568695037999</v>
      </c>
      <c r="N44" s="29">
        <v>3609.0909090909099</v>
      </c>
      <c r="O44" s="29">
        <v>14</v>
      </c>
    </row>
    <row r="45" spans="1:15" ht="17" customHeight="1" x14ac:dyDescent="0.35">
      <c r="A45" s="24" t="s">
        <v>59</v>
      </c>
      <c r="B45" s="25"/>
      <c r="C45" s="26"/>
      <c r="D45" s="26"/>
      <c r="E45" s="26"/>
      <c r="F45" s="26"/>
      <c r="G45" s="26"/>
      <c r="H45" s="26"/>
      <c r="I45" s="27"/>
      <c r="J45" s="28"/>
      <c r="K45" s="29">
        <v>63.267944444444403</v>
      </c>
      <c r="L45" s="30">
        <v>3588.09</v>
      </c>
      <c r="M45" s="31">
        <v>59.564814814814802</v>
      </c>
      <c r="N45" s="29">
        <v>3580</v>
      </c>
      <c r="O45" s="29">
        <v>15</v>
      </c>
    </row>
    <row r="46" spans="1:15" ht="17" customHeight="1" x14ac:dyDescent="0.35">
      <c r="A46" s="24" t="s">
        <v>60</v>
      </c>
      <c r="B46" s="38">
        <v>6373</v>
      </c>
      <c r="C46" s="32">
        <v>2938</v>
      </c>
      <c r="D46" s="26"/>
      <c r="E46" s="26"/>
      <c r="F46" s="37">
        <v>6373</v>
      </c>
      <c r="G46" s="37">
        <v>2938</v>
      </c>
      <c r="H46" s="32">
        <f>B46</f>
        <v>6373</v>
      </c>
      <c r="I46" s="33">
        <f>C46</f>
        <v>2938</v>
      </c>
      <c r="J46" s="28">
        <v>5.5</v>
      </c>
      <c r="K46" s="29">
        <v>6.1197965950000004</v>
      </c>
      <c r="L46" s="30">
        <v>430.34</v>
      </c>
      <c r="M46" s="31">
        <v>5.8133442857142796</v>
      </c>
      <c r="N46" s="29">
        <v>400</v>
      </c>
      <c r="O46" s="29">
        <v>5.5</v>
      </c>
    </row>
    <row r="47" spans="1:15" ht="17" customHeight="1" x14ac:dyDescent="0.35">
      <c r="A47" s="24" t="s">
        <v>61</v>
      </c>
      <c r="B47" s="36">
        <v>2961</v>
      </c>
      <c r="C47" s="37">
        <v>1221</v>
      </c>
      <c r="D47" s="26"/>
      <c r="E47" s="26"/>
      <c r="F47" s="32">
        <f>AVERAGE(2961,2630)</f>
        <v>2795.5</v>
      </c>
      <c r="G47" s="32">
        <f>AVERAGE(1221,1020)</f>
        <v>1120.5</v>
      </c>
      <c r="H47" s="32">
        <f>F47</f>
        <v>2795.5</v>
      </c>
      <c r="I47" s="33">
        <f>G47</f>
        <v>1120.5</v>
      </c>
      <c r="J47" s="28">
        <v>2</v>
      </c>
      <c r="K47" s="29">
        <v>2.9122909090909102</v>
      </c>
      <c r="L47" s="30">
        <v>188.88</v>
      </c>
      <c r="M47" s="31">
        <v>2.6</v>
      </c>
      <c r="N47" s="29">
        <v>139.5</v>
      </c>
      <c r="O47" s="29">
        <v>2</v>
      </c>
    </row>
    <row r="48" spans="1:15" ht="17" customHeight="1" x14ac:dyDescent="0.35">
      <c r="A48" s="24" t="s">
        <v>62</v>
      </c>
      <c r="B48" s="25"/>
      <c r="C48" s="26"/>
      <c r="D48" s="26"/>
      <c r="E48" s="26"/>
      <c r="F48" s="26"/>
      <c r="G48" s="26"/>
      <c r="H48" s="26"/>
      <c r="I48" s="27"/>
      <c r="J48" s="28"/>
      <c r="K48" s="29">
        <v>63.923787983960302</v>
      </c>
      <c r="L48" s="30">
        <v>4214.4966666666696</v>
      </c>
      <c r="M48" s="31">
        <v>65</v>
      </c>
      <c r="N48" s="29">
        <v>3719.5</v>
      </c>
      <c r="O48" s="29">
        <v>28.9</v>
      </c>
    </row>
    <row r="49" spans="1:15" ht="17" customHeight="1" x14ac:dyDescent="0.35">
      <c r="A49" s="24" t="s">
        <v>63</v>
      </c>
      <c r="B49" s="25"/>
      <c r="C49" s="26"/>
      <c r="D49" s="26"/>
      <c r="E49" s="26"/>
      <c r="F49" s="26"/>
      <c r="G49" s="26"/>
      <c r="H49" s="26"/>
      <c r="I49" s="27"/>
      <c r="J49" s="28">
        <v>9</v>
      </c>
      <c r="K49" s="29">
        <v>71.563911538287201</v>
      </c>
      <c r="L49" s="30">
        <v>8807.6550000000007</v>
      </c>
      <c r="M49" s="31">
        <v>77.7</v>
      </c>
      <c r="N49" s="29">
        <v>8625</v>
      </c>
      <c r="O49" s="29">
        <v>9</v>
      </c>
    </row>
    <row r="50" spans="1:15" ht="17" customHeight="1" x14ac:dyDescent="0.35">
      <c r="A50" s="24" t="s">
        <v>64</v>
      </c>
      <c r="B50" s="25"/>
      <c r="C50" s="26"/>
      <c r="D50" s="34">
        <v>77247.81</v>
      </c>
      <c r="E50" s="34">
        <v>33524.269999999997</v>
      </c>
      <c r="F50" s="26"/>
      <c r="G50" s="26"/>
      <c r="H50" s="34">
        <f>D50</f>
        <v>77247.81</v>
      </c>
      <c r="I50" s="35">
        <f>E50</f>
        <v>33524.269999999997</v>
      </c>
      <c r="J50" s="28">
        <v>9.1666666666666696</v>
      </c>
      <c r="K50" s="29">
        <v>77.370754983228395</v>
      </c>
      <c r="L50" s="30">
        <v>10052.3766666667</v>
      </c>
      <c r="M50" s="31">
        <v>74.386983185776998</v>
      </c>
      <c r="N50" s="29">
        <v>8589.3214285714294</v>
      </c>
      <c r="O50" s="29">
        <v>9.1999999999999993</v>
      </c>
    </row>
    <row r="51" spans="1:15" ht="17" customHeight="1" x14ac:dyDescent="0.35">
      <c r="A51" s="24" t="s">
        <v>65</v>
      </c>
      <c r="B51" s="25"/>
      <c r="C51" s="26"/>
      <c r="D51" s="26"/>
      <c r="E51" s="26"/>
      <c r="F51" s="26"/>
      <c r="G51" s="26"/>
      <c r="H51" s="26"/>
      <c r="I51" s="27"/>
      <c r="J51" s="28"/>
      <c r="K51" s="29">
        <v>76.020494162028001</v>
      </c>
      <c r="L51" s="30">
        <v>9118.5411111111098</v>
      </c>
      <c r="M51" s="31">
        <v>73.828148192952099</v>
      </c>
      <c r="N51" s="29">
        <v>9100</v>
      </c>
      <c r="O51" s="29">
        <v>10.199999999999999</v>
      </c>
    </row>
    <row r="52" spans="1:15" ht="17" customHeight="1" x14ac:dyDescent="0.35">
      <c r="A52" s="24" t="s">
        <v>66</v>
      </c>
      <c r="B52" s="25"/>
      <c r="C52" s="26"/>
      <c r="D52" s="26"/>
      <c r="E52" s="26"/>
      <c r="F52" s="26"/>
      <c r="G52" s="26"/>
      <c r="H52" s="26"/>
      <c r="I52" s="27"/>
      <c r="J52" s="28"/>
      <c r="K52" s="29">
        <v>80.2</v>
      </c>
      <c r="L52" s="30">
        <v>10750</v>
      </c>
      <c r="M52" s="31">
        <v>74.900000000000006</v>
      </c>
      <c r="N52" s="29">
        <v>8910</v>
      </c>
      <c r="O52" s="29">
        <v>15.5</v>
      </c>
    </row>
    <row r="53" spans="1:15" ht="17" customHeight="1" x14ac:dyDescent="0.35">
      <c r="A53" s="24" t="s">
        <v>67</v>
      </c>
      <c r="B53" s="36">
        <v>42611</v>
      </c>
      <c r="C53" s="37">
        <v>22127</v>
      </c>
      <c r="D53" s="26"/>
      <c r="E53" s="26"/>
      <c r="F53" s="32">
        <f>AVERAGE(42611,41070)</f>
        <v>41840.5</v>
      </c>
      <c r="G53" s="32">
        <f>AVERAGE(22127,24070)</f>
        <v>23098.5</v>
      </c>
      <c r="H53" s="32">
        <f>F53</f>
        <v>41840.5</v>
      </c>
      <c r="I53" s="33">
        <f>G53</f>
        <v>23098.5</v>
      </c>
      <c r="J53" s="28">
        <v>1.75</v>
      </c>
      <c r="K53" s="29">
        <v>46.344725257083198</v>
      </c>
      <c r="L53" s="30">
        <v>2603.1233333333298</v>
      </c>
      <c r="M53" s="31">
        <v>44.8496117594513</v>
      </c>
      <c r="N53" s="29">
        <v>2555</v>
      </c>
      <c r="O53" s="29">
        <v>1.8</v>
      </c>
    </row>
    <row r="54" spans="1:15" ht="17" customHeight="1" x14ac:dyDescent="0.35">
      <c r="A54" s="24" t="s">
        <v>68</v>
      </c>
      <c r="B54" s="38">
        <v>103167</v>
      </c>
      <c r="C54" s="32">
        <v>77141</v>
      </c>
      <c r="D54" s="34">
        <v>97005.79</v>
      </c>
      <c r="E54" s="34">
        <v>49024.07</v>
      </c>
      <c r="F54" s="37">
        <v>103167</v>
      </c>
      <c r="G54" s="37">
        <v>77141</v>
      </c>
      <c r="H54" s="34">
        <f>AVERAGE(B54,D54)</f>
        <v>100086.39499999999</v>
      </c>
      <c r="I54" s="35">
        <f>AVERAGE(C54,E54)</f>
        <v>63082.535000000003</v>
      </c>
      <c r="J54" s="28">
        <v>26.52</v>
      </c>
      <c r="K54" s="29">
        <v>97.872190419999995</v>
      </c>
      <c r="L54" s="30">
        <v>7858.15</v>
      </c>
      <c r="M54" s="31">
        <v>97.727224810606103</v>
      </c>
      <c r="N54" s="29">
        <v>9450</v>
      </c>
      <c r="O54" s="29">
        <v>26.5</v>
      </c>
    </row>
    <row r="55" spans="1:15" ht="17" customHeight="1" x14ac:dyDescent="0.35">
      <c r="A55" s="24" t="s">
        <v>69</v>
      </c>
      <c r="B55" s="25"/>
      <c r="C55" s="26"/>
      <c r="D55" s="40"/>
      <c r="E55" s="40"/>
      <c r="F55" s="26"/>
      <c r="G55" s="26"/>
      <c r="H55" s="26"/>
      <c r="I55" s="27"/>
      <c r="J55" s="28"/>
      <c r="K55" s="29">
        <v>21.394397519999998</v>
      </c>
      <c r="L55" s="30">
        <v>2099.9250000000002</v>
      </c>
      <c r="M55" s="31">
        <v>20.6509628571429</v>
      </c>
      <c r="N55" s="29">
        <v>1180</v>
      </c>
      <c r="O55" s="29">
        <v>8.4</v>
      </c>
    </row>
    <row r="56" spans="1:15" ht="17" customHeight="1" x14ac:dyDescent="0.35">
      <c r="A56" s="24" t="s">
        <v>70</v>
      </c>
      <c r="B56" s="38">
        <v>22106</v>
      </c>
      <c r="C56" s="32">
        <v>12207</v>
      </c>
      <c r="D56" s="26"/>
      <c r="E56" s="26"/>
      <c r="F56" s="37">
        <v>22106</v>
      </c>
      <c r="G56" s="37">
        <v>12207</v>
      </c>
      <c r="H56" s="32">
        <f>B56</f>
        <v>22106</v>
      </c>
      <c r="I56" s="33">
        <f>C56</f>
        <v>12207</v>
      </c>
      <c r="J56" s="28">
        <v>10.08</v>
      </c>
      <c r="K56" s="29">
        <v>24.786248923081299</v>
      </c>
      <c r="L56" s="30">
        <v>2332.33</v>
      </c>
      <c r="M56" s="31">
        <v>25.7693340139638</v>
      </c>
      <c r="N56" s="29">
        <v>2291.6666666666702</v>
      </c>
      <c r="O56" s="29">
        <v>10.1</v>
      </c>
    </row>
    <row r="57" spans="1:15" ht="17" customHeight="1" x14ac:dyDescent="0.35">
      <c r="A57" s="24" t="s">
        <v>71</v>
      </c>
      <c r="B57" s="25"/>
      <c r="C57" s="26"/>
      <c r="D57" s="26"/>
      <c r="E57" s="26"/>
      <c r="F57" s="26"/>
      <c r="G57" s="26"/>
      <c r="H57" s="26"/>
      <c r="I57" s="27"/>
      <c r="J57" s="28"/>
      <c r="K57" s="29">
        <v>24.634207236363601</v>
      </c>
      <c r="L57" s="30">
        <v>2336.81</v>
      </c>
      <c r="M57" s="31">
        <v>24.514512499999999</v>
      </c>
      <c r="N57" s="29">
        <v>2390</v>
      </c>
      <c r="O57" s="29">
        <v>8.4</v>
      </c>
    </row>
    <row r="58" spans="1:15" ht="17" customHeight="1" x14ac:dyDescent="0.35">
      <c r="A58" s="24" t="s">
        <v>72</v>
      </c>
      <c r="B58" s="25"/>
      <c r="C58" s="26"/>
      <c r="D58" s="26"/>
      <c r="E58" s="26"/>
      <c r="F58" s="32">
        <v>22240</v>
      </c>
      <c r="G58" s="32">
        <v>12030</v>
      </c>
      <c r="H58" s="32">
        <f>F58</f>
        <v>22240</v>
      </c>
      <c r="I58" s="33">
        <f>G58</f>
        <v>12030</v>
      </c>
      <c r="J58" s="28">
        <v>2.7</v>
      </c>
      <c r="K58" s="29">
        <v>21.451544865882401</v>
      </c>
      <c r="L58" s="30">
        <v>1810.37666666667</v>
      </c>
      <c r="M58" s="31">
        <v>20.172108571428598</v>
      </c>
      <c r="N58" s="29">
        <v>1212.4358974359</v>
      </c>
      <c r="O58" s="29">
        <v>2.7</v>
      </c>
    </row>
    <row r="59" spans="1:15" ht="17" customHeight="1" x14ac:dyDescent="0.35">
      <c r="A59" s="24" t="s">
        <v>73</v>
      </c>
      <c r="B59" s="25"/>
      <c r="C59" s="26"/>
      <c r="D59" s="26"/>
      <c r="E59" s="26"/>
      <c r="F59" s="26"/>
      <c r="G59" s="26"/>
      <c r="H59" s="26"/>
      <c r="I59" s="27"/>
      <c r="J59" s="28"/>
      <c r="K59" s="29">
        <v>26.924099146135902</v>
      </c>
      <c r="L59" s="30">
        <v>1726.8</v>
      </c>
      <c r="M59" s="31">
        <v>26.232733146141701</v>
      </c>
      <c r="N59" s="29">
        <v>1960</v>
      </c>
      <c r="O59" s="29">
        <v>3.2</v>
      </c>
    </row>
    <row r="60" spans="1:15" ht="17" customHeight="1" x14ac:dyDescent="0.35">
      <c r="A60" s="24" t="s">
        <v>74</v>
      </c>
      <c r="B60" s="25"/>
      <c r="C60" s="26"/>
      <c r="D60" s="26"/>
      <c r="E60" s="26"/>
      <c r="F60" s="26"/>
      <c r="G60" s="26"/>
      <c r="H60" s="26"/>
      <c r="I60" s="27"/>
      <c r="J60" s="28"/>
      <c r="K60" s="29">
        <v>5.7339315879999999</v>
      </c>
      <c r="L60" s="30">
        <v>303.493333333333</v>
      </c>
      <c r="M60" s="31">
        <v>5.5346830000000002</v>
      </c>
      <c r="N60" s="29">
        <v>274</v>
      </c>
      <c r="O60" s="29">
        <v>1</v>
      </c>
    </row>
    <row r="61" spans="1:15" ht="17" customHeight="1" x14ac:dyDescent="0.35">
      <c r="A61" s="24" t="s">
        <v>75</v>
      </c>
      <c r="B61" s="25"/>
      <c r="C61" s="26"/>
      <c r="D61" s="26"/>
      <c r="E61" s="26"/>
      <c r="F61" s="26"/>
      <c r="G61" s="26"/>
      <c r="H61" s="26"/>
      <c r="I61" s="27"/>
      <c r="J61" s="28"/>
      <c r="K61" s="29">
        <v>3.8386365699284002</v>
      </c>
      <c r="L61" s="30">
        <v>183.48</v>
      </c>
      <c r="M61" s="31">
        <v>3.70524765437104</v>
      </c>
      <c r="N61" s="29">
        <v>148.379096989967</v>
      </c>
      <c r="O61" s="29">
        <v>1</v>
      </c>
    </row>
    <row r="62" spans="1:15" ht="17" customHeight="1" x14ac:dyDescent="0.35">
      <c r="A62" s="24" t="s">
        <v>76</v>
      </c>
      <c r="B62" s="36">
        <v>4512</v>
      </c>
      <c r="C62" s="37">
        <v>2139</v>
      </c>
      <c r="D62" s="34">
        <v>3574.89</v>
      </c>
      <c r="E62" s="34">
        <v>1674.9</v>
      </c>
      <c r="F62" s="32">
        <f>AVERAGE(4512,3580)</f>
        <v>4046</v>
      </c>
      <c r="G62" s="32">
        <f>AVERAGE(2139,1570)</f>
        <v>1854.5</v>
      </c>
      <c r="H62" s="42">
        <f>AVERAGE(D62,F62)</f>
        <v>3810.4449999999997</v>
      </c>
      <c r="I62" s="43">
        <f>AVERAGE(E62,G62)</f>
        <v>1764.7</v>
      </c>
      <c r="J62" s="28">
        <v>1</v>
      </c>
      <c r="K62" s="29">
        <v>4.1296899167485197</v>
      </c>
      <c r="L62" s="30">
        <v>210.41111111111101</v>
      </c>
      <c r="M62" s="31">
        <v>3.9649359398340698</v>
      </c>
      <c r="N62" s="29">
        <v>194.16990291262101</v>
      </c>
      <c r="O62" s="29">
        <v>1</v>
      </c>
    </row>
    <row r="63" spans="1:15" ht="17" customHeight="1" x14ac:dyDescent="0.35">
      <c r="A63" s="24" t="s">
        <v>77</v>
      </c>
      <c r="B63" s="38">
        <v>3203</v>
      </c>
      <c r="C63" s="32">
        <v>1568</v>
      </c>
      <c r="D63" s="26"/>
      <c r="E63" s="26"/>
      <c r="F63" s="37">
        <v>3203</v>
      </c>
      <c r="G63" s="37">
        <v>1568</v>
      </c>
      <c r="H63" s="32">
        <f>B63</f>
        <v>3203</v>
      </c>
      <c r="I63" s="33">
        <f>C63</f>
        <v>1568</v>
      </c>
      <c r="J63" s="28">
        <v>2.25</v>
      </c>
      <c r="K63" s="29">
        <v>3.38</v>
      </c>
      <c r="L63" s="30">
        <v>62.2355555555555</v>
      </c>
      <c r="M63" s="31">
        <v>2.6523385504939698</v>
      </c>
      <c r="N63" s="29">
        <v>74.6493055555556</v>
      </c>
      <c r="O63" s="29">
        <v>2.2999999999999998</v>
      </c>
    </row>
    <row r="64" spans="1:15" ht="17" customHeight="1" x14ac:dyDescent="0.35">
      <c r="A64" s="24" t="s">
        <v>78</v>
      </c>
      <c r="B64" s="25"/>
      <c r="C64" s="26"/>
      <c r="D64" s="26"/>
      <c r="E64" s="26"/>
      <c r="F64" s="26"/>
      <c r="G64" s="26"/>
      <c r="H64" s="26"/>
      <c r="I64" s="27"/>
      <c r="J64" s="28"/>
      <c r="K64" s="29">
        <v>3.64118517</v>
      </c>
      <c r="L64" s="30">
        <v>147.35</v>
      </c>
      <c r="M64" s="31">
        <v>3.5146575000000002</v>
      </c>
      <c r="N64" s="29">
        <v>143</v>
      </c>
      <c r="O64" s="29">
        <v>1</v>
      </c>
    </row>
    <row r="65" spans="1:15" ht="17" customHeight="1" x14ac:dyDescent="0.35">
      <c r="A65" s="24" t="s">
        <v>79</v>
      </c>
      <c r="B65" s="25"/>
      <c r="C65" s="26"/>
      <c r="D65" s="26"/>
      <c r="E65" s="26"/>
      <c r="F65" s="34">
        <f>AVERAGE(445620,488910,411670,369430,398130,325990,360490,405960,358870,434580,359840,336430,363500,410320)</f>
        <v>390695.71428571426</v>
      </c>
      <c r="G65" s="34">
        <f>AVERAGE(292357.5,288076.25,243460,227071.25,234115.18,200118.75,210988.75,246207.5,268738.75,284096.41,235423.37,231122.5,272352.5,282756.25)</f>
        <v>251206.06857142856</v>
      </c>
      <c r="H65" s="34">
        <f>F65</f>
        <v>390695.71428571426</v>
      </c>
      <c r="I65" s="35">
        <f>G65</f>
        <v>251206.06857142856</v>
      </c>
      <c r="J65" s="28">
        <v>13</v>
      </c>
      <c r="K65" s="29">
        <v>508.95913880000001</v>
      </c>
      <c r="L65" s="30">
        <v>136212.595</v>
      </c>
      <c r="M65" s="31">
        <v>491.27330000000001</v>
      </c>
      <c r="N65" s="29">
        <v>130000</v>
      </c>
      <c r="O65" s="29">
        <v>13</v>
      </c>
    </row>
    <row r="66" spans="1:15" ht="17" customHeight="1" x14ac:dyDescent="0.35">
      <c r="A66" s="24" t="s">
        <v>80</v>
      </c>
      <c r="B66" s="38">
        <v>470359</v>
      </c>
      <c r="C66" s="32">
        <v>341444</v>
      </c>
      <c r="D66" s="34">
        <v>400319.53499999997</v>
      </c>
      <c r="E66" s="34">
        <v>169849.09</v>
      </c>
      <c r="F66" s="34">
        <f>AVERAGE(362900,434400,461500,338990,346350,445680,380700,433370,435210,449220,540440,459400,490670,401750,417200,488260,380500,490200,397300)</f>
        <v>429160</v>
      </c>
      <c r="G66" s="34">
        <f>AVERAGE(254300,313100,241710,182288.75,225980.71,313304.44,233597.78,236652.5,298627.78,290838.33,338193.33,277038.51,344837.68,263463.32,344461.11,308521.11,263841.67,275778.93,246900)</f>
        <v>276496.62894736836</v>
      </c>
      <c r="H66" s="34">
        <f>AVERAGE(B66,D66,F66)</f>
        <v>433279.51166666666</v>
      </c>
      <c r="I66" s="35">
        <f>AVERAGE(C66,E66,G66)</f>
        <v>262596.57298245613</v>
      </c>
      <c r="J66" s="28">
        <v>10.047058823529399</v>
      </c>
      <c r="K66" s="29">
        <v>507.246626865672</v>
      </c>
      <c r="L66" s="30">
        <v>121326.99666666699</v>
      </c>
      <c r="M66" s="31">
        <v>490.40682788051203</v>
      </c>
      <c r="N66" s="29">
        <v>120950</v>
      </c>
      <c r="O66" s="29">
        <v>10</v>
      </c>
    </row>
    <row r="67" spans="1:15" ht="17" customHeight="1" x14ac:dyDescent="0.35">
      <c r="A67" s="24" t="s">
        <v>81</v>
      </c>
      <c r="B67" s="25"/>
      <c r="C67" s="26"/>
      <c r="D67" s="26"/>
      <c r="E67" s="26"/>
      <c r="F67" s="26"/>
      <c r="G67" s="26"/>
      <c r="H67" s="26"/>
      <c r="I67" s="27"/>
      <c r="J67" s="28"/>
      <c r="K67" s="29">
        <v>14.600244399999999</v>
      </c>
      <c r="L67" s="30">
        <v>1021.33333333333</v>
      </c>
      <c r="M67" s="31">
        <v>14.0929</v>
      </c>
      <c r="N67" s="29">
        <v>709</v>
      </c>
      <c r="O67" s="29">
        <v>2.6</v>
      </c>
    </row>
    <row r="68" spans="1:15" ht="17" customHeight="1" x14ac:dyDescent="0.35">
      <c r="A68" s="44" t="s">
        <v>153</v>
      </c>
      <c r="B68" s="45"/>
      <c r="C68" s="46"/>
      <c r="D68" s="46"/>
      <c r="E68" s="46"/>
      <c r="F68" s="46"/>
      <c r="G68" s="53" t="s">
        <v>154</v>
      </c>
      <c r="H68" s="47">
        <v>1251847</v>
      </c>
      <c r="I68" s="48">
        <v>1063399</v>
      </c>
      <c r="J68" s="49"/>
      <c r="K68" s="50"/>
      <c r="L68" s="51">
        <v>62000</v>
      </c>
      <c r="M68" s="52" t="s">
        <v>155</v>
      </c>
      <c r="N68" s="50"/>
      <c r="O68" s="50"/>
    </row>
    <row r="69" spans="1:15" ht="17" customHeight="1" x14ac:dyDescent="0.35">
      <c r="A69" s="24" t="s">
        <v>82</v>
      </c>
      <c r="B69" s="25"/>
      <c r="C69" s="26"/>
      <c r="D69" s="26"/>
      <c r="E69" s="26"/>
      <c r="F69" s="26"/>
      <c r="G69" s="26"/>
      <c r="H69" s="26"/>
      <c r="I69" s="27"/>
      <c r="J69" s="28"/>
      <c r="K69" s="29">
        <v>90.647625000000005</v>
      </c>
      <c r="L69" s="30">
        <v>5251.36</v>
      </c>
      <c r="M69" s="31">
        <v>91.164285714285697</v>
      </c>
      <c r="N69" s="29">
        <v>5850</v>
      </c>
      <c r="O69" s="29">
        <v>4.4000000000000004</v>
      </c>
    </row>
    <row r="70" spans="1:15" ht="17" customHeight="1" x14ac:dyDescent="0.35">
      <c r="A70" s="24" t="s">
        <v>83</v>
      </c>
      <c r="B70" s="25"/>
      <c r="C70" s="26"/>
      <c r="D70" s="26"/>
      <c r="E70" s="26"/>
      <c r="F70" s="26"/>
      <c r="G70" s="26"/>
      <c r="H70" s="26"/>
      <c r="I70" s="27"/>
      <c r="J70" s="28"/>
      <c r="K70" s="29">
        <v>92.043373380000006</v>
      </c>
      <c r="L70" s="30">
        <v>5861.1450000000004</v>
      </c>
      <c r="M70" s="31">
        <v>87.991252500000002</v>
      </c>
      <c r="N70" s="29">
        <v>5795</v>
      </c>
      <c r="O70" s="29">
        <v>3.6</v>
      </c>
    </row>
    <row r="71" spans="1:15" ht="17" customHeight="1" x14ac:dyDescent="0.35">
      <c r="A71" s="24" t="s">
        <v>84</v>
      </c>
      <c r="B71" s="36">
        <v>97505</v>
      </c>
      <c r="C71" s="37">
        <v>65800</v>
      </c>
      <c r="D71" s="26"/>
      <c r="E71" s="26"/>
      <c r="F71" s="32">
        <f>AVERAGE(88800,115800,97505,101280,83000)</f>
        <v>97277</v>
      </c>
      <c r="G71" s="32">
        <f>AVERAGE(59600,77000,65800,65620,56600)</f>
        <v>64924</v>
      </c>
      <c r="H71" s="32">
        <f>F71</f>
        <v>97277</v>
      </c>
      <c r="I71" s="33">
        <f>G71</f>
        <v>64924</v>
      </c>
      <c r="J71" s="28">
        <v>3.5142857142857098</v>
      </c>
      <c r="K71" s="29">
        <v>105.27639696220101</v>
      </c>
      <c r="L71" s="30">
        <v>5462.87</v>
      </c>
      <c r="M71" s="31">
        <v>101.866572048645</v>
      </c>
      <c r="N71" s="29">
        <v>5595.06435185185</v>
      </c>
      <c r="O71" s="29">
        <v>3.5</v>
      </c>
    </row>
    <row r="72" spans="1:15" ht="17" customHeight="1" x14ac:dyDescent="0.35">
      <c r="A72" s="24" t="s">
        <v>85</v>
      </c>
      <c r="B72" s="25"/>
      <c r="C72" s="26"/>
      <c r="D72" s="26"/>
      <c r="E72" s="26"/>
      <c r="F72" s="26"/>
      <c r="G72" s="26"/>
      <c r="H72" s="26"/>
      <c r="I72" s="27"/>
      <c r="J72" s="28">
        <v>3.45</v>
      </c>
      <c r="K72" s="29">
        <v>90.892795802206294</v>
      </c>
      <c r="L72" s="30">
        <v>5837.4049999999997</v>
      </c>
      <c r="M72" s="31">
        <v>85.1294065330911</v>
      </c>
      <c r="N72" s="29">
        <v>5821.2916666666697</v>
      </c>
      <c r="O72" s="29">
        <v>3.5</v>
      </c>
    </row>
    <row r="73" spans="1:15" ht="17" customHeight="1" x14ac:dyDescent="0.35">
      <c r="A73" s="24" t="s">
        <v>86</v>
      </c>
      <c r="B73" s="25"/>
      <c r="C73" s="26"/>
      <c r="D73" s="26"/>
      <c r="E73" s="26"/>
      <c r="F73" s="26"/>
      <c r="G73" s="26"/>
      <c r="H73" s="26"/>
      <c r="I73" s="27"/>
      <c r="J73" s="28"/>
      <c r="K73" s="29">
        <v>87.733851851851796</v>
      </c>
      <c r="L73" s="30">
        <v>5638.6850000000004</v>
      </c>
      <c r="M73" s="31">
        <v>84.685185185185205</v>
      </c>
      <c r="N73" s="29">
        <v>5470</v>
      </c>
      <c r="O73" s="29">
        <v>3.5</v>
      </c>
    </row>
    <row r="74" spans="1:15" ht="17" customHeight="1" x14ac:dyDescent="0.35">
      <c r="A74" s="24" t="s">
        <v>87</v>
      </c>
      <c r="B74" s="38">
        <v>36285</v>
      </c>
      <c r="C74" s="32">
        <v>20114</v>
      </c>
      <c r="D74" s="26"/>
      <c r="E74" s="26"/>
      <c r="F74" s="37">
        <v>36285</v>
      </c>
      <c r="G74" s="37">
        <v>20114</v>
      </c>
      <c r="H74" s="32">
        <f>B74</f>
        <v>36285</v>
      </c>
      <c r="I74" s="33">
        <f>C74</f>
        <v>20114</v>
      </c>
      <c r="J74" s="28">
        <v>3.28</v>
      </c>
      <c r="K74" s="29">
        <v>36.308609922222203</v>
      </c>
      <c r="L74" s="30">
        <v>10500</v>
      </c>
      <c r="M74" s="31">
        <v>34.806646874999998</v>
      </c>
      <c r="N74" s="29">
        <v>6335</v>
      </c>
      <c r="O74" s="29">
        <v>3.3</v>
      </c>
    </row>
    <row r="75" spans="1:15" ht="17" customHeight="1" x14ac:dyDescent="0.35">
      <c r="A75" s="24" t="s">
        <v>88</v>
      </c>
      <c r="B75" s="38">
        <v>95503</v>
      </c>
      <c r="C75" s="32">
        <v>65873</v>
      </c>
      <c r="D75" s="34">
        <v>91676.7</v>
      </c>
      <c r="E75" s="34">
        <v>46869.06</v>
      </c>
      <c r="F75" s="37">
        <v>95503</v>
      </c>
      <c r="G75" s="37">
        <v>65873</v>
      </c>
      <c r="H75" s="34">
        <f>AVERAGE(B75,D75)</f>
        <v>93589.85</v>
      </c>
      <c r="I75" s="35">
        <f>AVERAGE(C75,E75)</f>
        <v>56371.03</v>
      </c>
      <c r="J75" s="28">
        <v>20.309090909090902</v>
      </c>
      <c r="K75" s="29">
        <v>99.688333333333304</v>
      </c>
      <c r="L75" s="30">
        <v>7647.8966666666702</v>
      </c>
      <c r="M75" s="31">
        <v>96.5</v>
      </c>
      <c r="N75" s="29">
        <v>7150</v>
      </c>
      <c r="O75" s="29">
        <v>20.3</v>
      </c>
    </row>
    <row r="76" spans="1:15" ht="17" customHeight="1" x14ac:dyDescent="0.35">
      <c r="A76" s="24" t="s">
        <v>89</v>
      </c>
      <c r="B76" s="25"/>
      <c r="C76" s="26"/>
      <c r="D76" s="26"/>
      <c r="E76" s="26"/>
      <c r="F76" s="32">
        <v>21000</v>
      </c>
      <c r="G76" s="32">
        <v>11080</v>
      </c>
      <c r="H76" s="32">
        <f>F76</f>
        <v>21000</v>
      </c>
      <c r="I76" s="33">
        <f>G76</f>
        <v>11080</v>
      </c>
      <c r="J76" s="28">
        <v>15.75</v>
      </c>
      <c r="K76" s="29">
        <v>23.245579738461501</v>
      </c>
      <c r="L76" s="30">
        <v>2380.4933333333302</v>
      </c>
      <c r="M76" s="31">
        <v>22.904685000000001</v>
      </c>
      <c r="N76" s="29">
        <v>2210</v>
      </c>
      <c r="O76" s="29">
        <v>15.8</v>
      </c>
    </row>
    <row r="77" spans="1:15" ht="17" customHeight="1" x14ac:dyDescent="0.35">
      <c r="A77" s="24" t="s">
        <v>90</v>
      </c>
      <c r="B77" s="25"/>
      <c r="C77" s="26"/>
      <c r="D77" s="34">
        <v>11355.29</v>
      </c>
      <c r="E77" s="34">
        <v>6427.27</v>
      </c>
      <c r="F77" s="26"/>
      <c r="G77" s="26"/>
      <c r="H77" s="34">
        <f>D77</f>
        <v>11355.29</v>
      </c>
      <c r="I77" s="35">
        <f>E77</f>
        <v>6427.27</v>
      </c>
      <c r="J77" s="28">
        <v>5.4</v>
      </c>
      <c r="K77" s="29">
        <v>13.115867681409901</v>
      </c>
      <c r="L77" s="30">
        <v>623.51</v>
      </c>
      <c r="M77" s="31">
        <v>12.830705401469601</v>
      </c>
      <c r="N77" s="29">
        <v>609</v>
      </c>
      <c r="O77" s="29">
        <v>5.4</v>
      </c>
    </row>
    <row r="78" spans="1:15" ht="17" customHeight="1" x14ac:dyDescent="0.35">
      <c r="A78" s="24" t="s">
        <v>91</v>
      </c>
      <c r="B78" s="25"/>
      <c r="C78" s="26"/>
      <c r="D78" s="26"/>
      <c r="E78" s="26"/>
      <c r="F78" s="26"/>
      <c r="G78" s="26"/>
      <c r="H78" s="26"/>
      <c r="I78" s="27"/>
      <c r="J78" s="28"/>
      <c r="K78" s="29"/>
      <c r="L78" s="30"/>
      <c r="M78" s="31">
        <v>6.86968333333333</v>
      </c>
      <c r="N78" s="29">
        <v>605.5</v>
      </c>
      <c r="O78" s="29">
        <v>1</v>
      </c>
    </row>
    <row r="79" spans="1:15" ht="17" customHeight="1" x14ac:dyDescent="0.35">
      <c r="A79" s="24" t="s">
        <v>92</v>
      </c>
      <c r="B79" s="25"/>
      <c r="C79" s="26"/>
      <c r="D79" s="26"/>
      <c r="E79" s="26"/>
      <c r="F79" s="26"/>
      <c r="G79" s="26"/>
      <c r="H79" s="26"/>
      <c r="I79" s="27"/>
      <c r="J79" s="28"/>
      <c r="K79" s="29">
        <v>9.9040667599999992</v>
      </c>
      <c r="L79" s="30">
        <v>625</v>
      </c>
      <c r="M79" s="31">
        <v>9.5599100000000004</v>
      </c>
      <c r="N79" s="29">
        <v>777</v>
      </c>
      <c r="O79" s="29">
        <v>1</v>
      </c>
    </row>
    <row r="80" spans="1:15" ht="17" customHeight="1" x14ac:dyDescent="0.35">
      <c r="A80" s="24" t="s">
        <v>93</v>
      </c>
      <c r="B80" s="38">
        <v>97603</v>
      </c>
      <c r="C80" s="32">
        <v>68733</v>
      </c>
      <c r="D80" s="34">
        <v>89810.41</v>
      </c>
      <c r="E80" s="34">
        <v>44892.22</v>
      </c>
      <c r="F80" s="37">
        <v>97603</v>
      </c>
      <c r="G80" s="37">
        <v>68733</v>
      </c>
      <c r="H80" s="34">
        <f>AVERAGE(B80,D80)</f>
        <v>93706.705000000002</v>
      </c>
      <c r="I80" s="35">
        <f>AVERAGE(C80,E80)</f>
        <v>56812.61</v>
      </c>
      <c r="J80" s="28">
        <v>15.6809523809524</v>
      </c>
      <c r="K80" s="29">
        <v>97.489093477848797</v>
      </c>
      <c r="L80" s="30">
        <v>7932.2366666666703</v>
      </c>
      <c r="M80" s="31">
        <v>93.973505989977895</v>
      </c>
      <c r="N80" s="29">
        <v>6950</v>
      </c>
      <c r="O80" s="29">
        <v>15.7</v>
      </c>
    </row>
    <row r="81" spans="1:15" ht="17" customHeight="1" x14ac:dyDescent="0.35">
      <c r="A81" s="24" t="s">
        <v>94</v>
      </c>
      <c r="B81" s="38">
        <v>6269</v>
      </c>
      <c r="C81" s="32">
        <v>3524</v>
      </c>
      <c r="D81" s="26"/>
      <c r="E81" s="26"/>
      <c r="F81" s="37">
        <v>6269</v>
      </c>
      <c r="G81" s="37">
        <v>3524</v>
      </c>
      <c r="H81" s="32">
        <f>B81</f>
        <v>6269</v>
      </c>
      <c r="I81" s="33">
        <f>C81</f>
        <v>3524</v>
      </c>
      <c r="J81" s="28">
        <v>2</v>
      </c>
      <c r="K81" s="29">
        <v>6.0515217100000003</v>
      </c>
      <c r="L81" s="30">
        <v>269.80666666666701</v>
      </c>
      <c r="M81" s="31">
        <v>5.8710760000000004</v>
      </c>
      <c r="N81" s="29">
        <v>192.5</v>
      </c>
      <c r="O81" s="29">
        <v>2</v>
      </c>
    </row>
    <row r="82" spans="1:15" ht="17" customHeight="1" x14ac:dyDescent="0.35">
      <c r="A82" s="24" t="s">
        <v>95</v>
      </c>
      <c r="B82" s="25"/>
      <c r="C82" s="26"/>
      <c r="D82" s="34">
        <v>90976.42</v>
      </c>
      <c r="E82" s="34">
        <v>47218.07</v>
      </c>
      <c r="F82" s="26"/>
      <c r="G82" s="26"/>
      <c r="H82" s="34">
        <f t="shared" ref="H82:I84" si="0">D82</f>
        <v>90976.42</v>
      </c>
      <c r="I82" s="35">
        <f t="shared" si="0"/>
        <v>47218.07</v>
      </c>
      <c r="J82" s="28">
        <v>13.8</v>
      </c>
      <c r="K82" s="29">
        <v>101.057876646297</v>
      </c>
      <c r="L82" s="30">
        <v>7877.68</v>
      </c>
      <c r="M82" s="31">
        <v>100.7</v>
      </c>
      <c r="N82" s="29">
        <v>10300</v>
      </c>
      <c r="O82" s="29">
        <v>13.8</v>
      </c>
    </row>
    <row r="83" spans="1:15" ht="17" customHeight="1" x14ac:dyDescent="0.35">
      <c r="A83" s="24" t="s">
        <v>96</v>
      </c>
      <c r="B83" s="25"/>
      <c r="C83" s="26"/>
      <c r="D83" s="34">
        <v>53845.39</v>
      </c>
      <c r="E83" s="34">
        <v>26848.31</v>
      </c>
      <c r="F83" s="26"/>
      <c r="G83" s="26"/>
      <c r="H83" s="34">
        <f t="shared" si="0"/>
        <v>53845.39</v>
      </c>
      <c r="I83" s="35">
        <f t="shared" si="0"/>
        <v>26848.31</v>
      </c>
      <c r="J83" s="28">
        <v>27.521428571428601</v>
      </c>
      <c r="K83" s="29">
        <v>66.529840809272798</v>
      </c>
      <c r="L83" s="30">
        <v>4644.1066666666702</v>
      </c>
      <c r="M83" s="31">
        <v>63.976598509092803</v>
      </c>
      <c r="N83" s="29">
        <v>4251.0465331278901</v>
      </c>
      <c r="O83" s="29">
        <v>27.5</v>
      </c>
    </row>
    <row r="84" spans="1:15" ht="17" customHeight="1" x14ac:dyDescent="0.35">
      <c r="A84" s="24" t="s">
        <v>97</v>
      </c>
      <c r="B84" s="25"/>
      <c r="C84" s="26"/>
      <c r="D84" s="34">
        <v>89294.87</v>
      </c>
      <c r="E84" s="34">
        <v>48310.080000000002</v>
      </c>
      <c r="F84" s="26"/>
      <c r="G84" s="26"/>
      <c r="H84" s="34">
        <f t="shared" si="0"/>
        <v>89294.87</v>
      </c>
      <c r="I84" s="35">
        <f t="shared" si="0"/>
        <v>48310.080000000002</v>
      </c>
      <c r="J84" s="28">
        <v>64.650000000000006</v>
      </c>
      <c r="K84" s="29">
        <v>98.592666666666702</v>
      </c>
      <c r="L84" s="30">
        <v>9498.8799999999992</v>
      </c>
      <c r="M84" s="31">
        <v>102.92</v>
      </c>
      <c r="N84" s="29">
        <v>9515</v>
      </c>
      <c r="O84" s="29">
        <v>64.7</v>
      </c>
    </row>
    <row r="85" spans="1:15" ht="17" customHeight="1" x14ac:dyDescent="0.35">
      <c r="A85" s="24" t="s">
        <v>98</v>
      </c>
      <c r="B85" s="36">
        <v>87896</v>
      </c>
      <c r="C85" s="37">
        <v>63482</v>
      </c>
      <c r="D85" s="34">
        <v>88347.15</v>
      </c>
      <c r="E85" s="34">
        <v>44557.89</v>
      </c>
      <c r="F85" s="34">
        <f>AVERAGE(87896,65760,79100)</f>
        <v>77585.333333333328</v>
      </c>
      <c r="G85" s="34">
        <f>AVERAGE(63482,46890,55700)</f>
        <v>55357.333333333336</v>
      </c>
      <c r="H85" s="34">
        <f>AVERAGE(D85,F85)</f>
        <v>82966.241666666669</v>
      </c>
      <c r="I85" s="35">
        <f>AVERAGE(E85,G85)</f>
        <v>49957.611666666664</v>
      </c>
      <c r="J85" s="28">
        <v>36.362499999999997</v>
      </c>
      <c r="K85" s="29">
        <v>88.9414355925488</v>
      </c>
      <c r="L85" s="30">
        <v>6471.73</v>
      </c>
      <c r="M85" s="31">
        <v>88.984218266010799</v>
      </c>
      <c r="N85" s="29">
        <v>6792.7661574618096</v>
      </c>
      <c r="O85" s="29">
        <v>36.4</v>
      </c>
    </row>
    <row r="86" spans="1:15" ht="17" customHeight="1" x14ac:dyDescent="0.35">
      <c r="A86" s="24" t="s">
        <v>99</v>
      </c>
      <c r="B86" s="25"/>
      <c r="C86" s="26"/>
      <c r="D86" s="34">
        <v>94813.84</v>
      </c>
      <c r="E86" s="34">
        <v>42872.639999999999</v>
      </c>
      <c r="F86" s="26"/>
      <c r="G86" s="26"/>
      <c r="H86" s="34">
        <f>D86</f>
        <v>94813.84</v>
      </c>
      <c r="I86" s="35">
        <f>E86</f>
        <v>42872.639999999999</v>
      </c>
      <c r="J86" s="28">
        <v>31.56</v>
      </c>
      <c r="K86" s="29">
        <v>109.871143419099</v>
      </c>
      <c r="L86" s="30">
        <v>7244.5933333333296</v>
      </c>
      <c r="M86" s="31">
        <v>105.592920172961</v>
      </c>
      <c r="N86" s="29">
        <v>8820.92323232323</v>
      </c>
      <c r="O86" s="29">
        <v>31.6</v>
      </c>
    </row>
    <row r="87" spans="1:15" ht="17" customHeight="1" x14ac:dyDescent="0.35">
      <c r="A87" s="24" t="s">
        <v>100</v>
      </c>
      <c r="B87" s="25"/>
      <c r="C87" s="26"/>
      <c r="D87" s="34">
        <v>75427.17</v>
      </c>
      <c r="E87" s="34">
        <v>34402.6</v>
      </c>
      <c r="F87" s="26"/>
      <c r="G87" s="26"/>
      <c r="H87" s="34">
        <f>D87</f>
        <v>75427.17</v>
      </c>
      <c r="I87" s="35">
        <f>E87</f>
        <v>34402.6</v>
      </c>
      <c r="J87" s="28">
        <v>47</v>
      </c>
      <c r="K87" s="29">
        <v>91.456000000000003</v>
      </c>
      <c r="L87" s="30">
        <v>7662.1949999999997</v>
      </c>
      <c r="M87" s="31">
        <v>94.9</v>
      </c>
      <c r="N87" s="29">
        <v>7680</v>
      </c>
      <c r="O87" s="29">
        <v>47</v>
      </c>
    </row>
    <row r="88" spans="1:15" ht="17" customHeight="1" x14ac:dyDescent="0.35">
      <c r="A88" s="24" t="s">
        <v>101</v>
      </c>
      <c r="B88" s="25"/>
      <c r="C88" s="26"/>
      <c r="D88" s="26"/>
      <c r="E88" s="26"/>
      <c r="F88" s="26"/>
      <c r="G88" s="26"/>
      <c r="H88" s="26"/>
      <c r="I88" s="27"/>
      <c r="J88" s="28"/>
      <c r="K88" s="29">
        <v>79.466473488255204</v>
      </c>
      <c r="L88" s="30">
        <v>5877.4949999999999</v>
      </c>
      <c r="M88" s="31">
        <v>74.873488508180003</v>
      </c>
      <c r="N88" s="29">
        <v>5084.0833333333303</v>
      </c>
      <c r="O88" s="29">
        <v>24.9</v>
      </c>
    </row>
    <row r="89" spans="1:15" ht="17" customHeight="1" x14ac:dyDescent="0.35">
      <c r="A89" s="24" t="s">
        <v>102</v>
      </c>
      <c r="B89" s="25"/>
      <c r="C89" s="26"/>
      <c r="D89" s="34">
        <v>95121.19</v>
      </c>
      <c r="E89" s="34">
        <v>51109.63</v>
      </c>
      <c r="F89" s="26"/>
      <c r="G89" s="26"/>
      <c r="H89" s="34">
        <f>D89</f>
        <v>95121.19</v>
      </c>
      <c r="I89" s="35">
        <f>E89</f>
        <v>51109.63</v>
      </c>
      <c r="J89" s="28">
        <v>19</v>
      </c>
      <c r="K89" s="29">
        <v>82.88</v>
      </c>
      <c r="L89" s="30">
        <v>6935.125</v>
      </c>
      <c r="M89" s="31">
        <v>85</v>
      </c>
      <c r="N89" s="29">
        <v>7500</v>
      </c>
      <c r="O89" s="29">
        <v>19</v>
      </c>
    </row>
    <row r="90" spans="1:15" ht="17" customHeight="1" x14ac:dyDescent="0.35">
      <c r="A90" s="24" t="s">
        <v>103</v>
      </c>
      <c r="B90" s="25"/>
      <c r="C90" s="26"/>
      <c r="D90" s="34">
        <v>83284.63</v>
      </c>
      <c r="E90" s="34">
        <v>45352.78</v>
      </c>
      <c r="F90" s="26"/>
      <c r="G90" s="26"/>
      <c r="H90" s="34">
        <f>D90</f>
        <v>83284.63</v>
      </c>
      <c r="I90" s="35">
        <f>E90</f>
        <v>45352.78</v>
      </c>
      <c r="J90" s="28">
        <v>21.86</v>
      </c>
      <c r="K90" s="29">
        <v>97.364503065028003</v>
      </c>
      <c r="L90" s="30">
        <v>11173.264999999999</v>
      </c>
      <c r="M90" s="31">
        <v>93.2</v>
      </c>
      <c r="N90" s="29">
        <v>12077.6515151515</v>
      </c>
      <c r="O90" s="29">
        <v>21.9</v>
      </c>
    </row>
    <row r="91" spans="1:15" ht="17" customHeight="1" x14ac:dyDescent="0.35">
      <c r="A91" s="24" t="s">
        <v>104</v>
      </c>
      <c r="B91" s="25"/>
      <c r="C91" s="26"/>
      <c r="D91" s="34">
        <v>128292.08</v>
      </c>
      <c r="E91" s="34">
        <v>66858.27</v>
      </c>
      <c r="F91" s="32">
        <v>127610</v>
      </c>
      <c r="G91" s="32">
        <v>99260</v>
      </c>
      <c r="H91" s="34">
        <f>AVERAGE(D91,F91)</f>
        <v>127951.04000000001</v>
      </c>
      <c r="I91" s="35">
        <f>AVERAGE(E91,G91)</f>
        <v>83059.135000000009</v>
      </c>
      <c r="J91" s="28">
        <v>95</v>
      </c>
      <c r="K91" s="29">
        <v>162.40872456</v>
      </c>
      <c r="L91" s="30">
        <v>19842.53</v>
      </c>
      <c r="M91" s="31">
        <v>153.876544117647</v>
      </c>
      <c r="N91" s="29">
        <v>23600</v>
      </c>
      <c r="O91" s="29">
        <v>95</v>
      </c>
    </row>
    <row r="92" spans="1:15" ht="17" customHeight="1" x14ac:dyDescent="0.35">
      <c r="A92" s="24" t="s">
        <v>105</v>
      </c>
      <c r="B92" s="36">
        <v>1680</v>
      </c>
      <c r="C92" s="37">
        <v>740</v>
      </c>
      <c r="D92" s="34">
        <v>1696.29</v>
      </c>
      <c r="E92" s="34">
        <v>763.02</v>
      </c>
      <c r="F92" s="32">
        <f>AVERAGE(1680,1650)</f>
        <v>1665</v>
      </c>
      <c r="G92" s="32">
        <f>AVERAGE(740,690)</f>
        <v>715</v>
      </c>
      <c r="H92" s="34">
        <f>AVERAGE(D92,F92)</f>
        <v>1680.645</v>
      </c>
      <c r="I92" s="35">
        <f>AVERAGE(E92,G92)</f>
        <v>739.01</v>
      </c>
      <c r="J92" s="28">
        <v>5.0999999999999996</v>
      </c>
      <c r="K92" s="29">
        <v>1.7208473313333299</v>
      </c>
      <c r="L92" s="30">
        <v>63.933333333333302</v>
      </c>
      <c r="M92" s="31">
        <v>1.6307254117647101</v>
      </c>
      <c r="N92" s="29">
        <v>65.099999999999994</v>
      </c>
      <c r="O92" s="29">
        <v>5.0999999999999996</v>
      </c>
    </row>
    <row r="93" spans="1:15" ht="17" customHeight="1" x14ac:dyDescent="0.35">
      <c r="A93" s="24" t="s">
        <v>106</v>
      </c>
      <c r="B93" s="25"/>
      <c r="C93" s="26"/>
      <c r="D93" s="26"/>
      <c r="E93" s="26"/>
      <c r="F93" s="26"/>
      <c r="G93" s="26"/>
      <c r="H93" s="26"/>
      <c r="I93" s="27"/>
      <c r="J93" s="28"/>
      <c r="K93" s="29">
        <v>1.77819212666667</v>
      </c>
      <c r="L93" s="30">
        <v>48.39</v>
      </c>
      <c r="M93" s="31">
        <v>1.7164016666666699</v>
      </c>
      <c r="N93" s="29">
        <v>42.5</v>
      </c>
      <c r="O93" s="29">
        <v>1</v>
      </c>
    </row>
    <row r="94" spans="1:15" ht="17" customHeight="1" x14ac:dyDescent="0.35">
      <c r="A94" s="24" t="s">
        <v>107</v>
      </c>
      <c r="B94" s="38">
        <v>37776</v>
      </c>
      <c r="C94" s="32">
        <v>26427</v>
      </c>
      <c r="D94" s="26"/>
      <c r="E94" s="26"/>
      <c r="F94" s="37">
        <v>37776</v>
      </c>
      <c r="G94" s="37">
        <v>26427</v>
      </c>
      <c r="H94" s="32">
        <f>B94</f>
        <v>37776</v>
      </c>
      <c r="I94" s="33">
        <f>C94</f>
        <v>26427</v>
      </c>
      <c r="J94" s="28">
        <v>68.375</v>
      </c>
      <c r="K94" s="29">
        <v>37.700000000000003</v>
      </c>
      <c r="L94" s="30">
        <v>1236.95333333333</v>
      </c>
      <c r="M94" s="31"/>
      <c r="N94" s="29"/>
      <c r="O94" s="41">
        <v>68.375</v>
      </c>
    </row>
    <row r="95" spans="1:15" ht="17" customHeight="1" x14ac:dyDescent="0.35">
      <c r="A95" s="24" t="s">
        <v>108</v>
      </c>
      <c r="B95" s="25"/>
      <c r="C95" s="26"/>
      <c r="D95" s="26"/>
      <c r="E95" s="26"/>
      <c r="F95" s="26"/>
      <c r="G95" s="26"/>
      <c r="H95" s="26"/>
      <c r="I95" s="27"/>
      <c r="J95" s="28"/>
      <c r="K95" s="29">
        <v>6.004526759</v>
      </c>
      <c r="L95" s="30">
        <v>315.23333333333301</v>
      </c>
      <c r="M95" s="31">
        <v>5.7958752499999999</v>
      </c>
      <c r="N95" s="29">
        <v>311.5</v>
      </c>
      <c r="O95" s="29">
        <v>1</v>
      </c>
    </row>
    <row r="96" spans="1:15" ht="17" customHeight="1" x14ac:dyDescent="0.35">
      <c r="A96" s="24" t="s">
        <v>109</v>
      </c>
      <c r="B96" s="38">
        <v>92797</v>
      </c>
      <c r="C96" s="32">
        <v>62685</v>
      </c>
      <c r="D96" s="26"/>
      <c r="E96" s="26"/>
      <c r="F96" s="37">
        <v>92797</v>
      </c>
      <c r="G96" s="37">
        <v>62685</v>
      </c>
      <c r="H96" s="32">
        <f>B96</f>
        <v>92797</v>
      </c>
      <c r="I96" s="33">
        <f>C96</f>
        <v>62685</v>
      </c>
      <c r="J96" s="28">
        <v>9.94</v>
      </c>
      <c r="K96" s="29">
        <v>96.211402648103203</v>
      </c>
      <c r="L96" s="30">
        <v>13441.825000000001</v>
      </c>
      <c r="M96" s="31">
        <v>92.303820420053896</v>
      </c>
      <c r="N96" s="29">
        <v>14560.7235294118</v>
      </c>
      <c r="O96" s="29">
        <v>9.9</v>
      </c>
    </row>
    <row r="97" spans="1:15" ht="17" customHeight="1" x14ac:dyDescent="0.35">
      <c r="A97" s="24" t="s">
        <v>110</v>
      </c>
      <c r="B97" s="25"/>
      <c r="C97" s="26"/>
      <c r="D97" s="26"/>
      <c r="E97" s="26"/>
      <c r="F97" s="26"/>
      <c r="G97" s="26"/>
      <c r="H97" s="26"/>
      <c r="I97" s="27"/>
      <c r="J97" s="28">
        <v>3.5</v>
      </c>
      <c r="K97" s="29">
        <v>131.69999999999999</v>
      </c>
      <c r="L97" s="30">
        <v>6631.7349999999997</v>
      </c>
      <c r="M97" s="31"/>
      <c r="N97" s="29"/>
      <c r="O97" s="29">
        <v>3.5</v>
      </c>
    </row>
    <row r="98" spans="1:15" ht="17" customHeight="1" x14ac:dyDescent="0.35">
      <c r="A98" s="24" t="s">
        <v>111</v>
      </c>
      <c r="B98" s="36">
        <v>11755</v>
      </c>
      <c r="C98" s="37">
        <v>6192</v>
      </c>
      <c r="D98" s="26"/>
      <c r="E98" s="26"/>
      <c r="F98" s="32">
        <f>AVERAGE(11755,11270)</f>
        <v>11512.5</v>
      </c>
      <c r="G98" s="32">
        <f>AVERAGE(6192,5470)</f>
        <v>5831</v>
      </c>
      <c r="H98" s="32">
        <f>F98</f>
        <v>11512.5</v>
      </c>
      <c r="I98" s="33">
        <f>G98</f>
        <v>5831</v>
      </c>
      <c r="J98" s="28">
        <v>1</v>
      </c>
      <c r="K98" s="29">
        <v>10.7286070801118</v>
      </c>
      <c r="L98" s="30">
        <v>838.35</v>
      </c>
      <c r="M98" s="31">
        <v>10.1303042111977</v>
      </c>
      <c r="N98" s="29">
        <v>652.5</v>
      </c>
      <c r="O98" s="29">
        <v>1</v>
      </c>
    </row>
    <row r="99" spans="1:15" ht="17" customHeight="1" x14ac:dyDescent="0.35">
      <c r="A99" s="24" t="s">
        <v>112</v>
      </c>
      <c r="B99" s="25"/>
      <c r="C99" s="26"/>
      <c r="D99" s="26"/>
      <c r="E99" s="26"/>
      <c r="F99" s="26"/>
      <c r="G99" s="26"/>
      <c r="H99" s="26"/>
      <c r="I99" s="27"/>
      <c r="J99" s="28"/>
      <c r="K99" s="29">
        <v>7.5336482222857102</v>
      </c>
      <c r="L99" s="30">
        <v>413.77333333333303</v>
      </c>
      <c r="M99" s="31">
        <v>7.2290118333333302</v>
      </c>
      <c r="N99" s="29">
        <v>307</v>
      </c>
      <c r="O99" s="29">
        <v>1</v>
      </c>
    </row>
    <row r="100" spans="1:15" ht="17" customHeight="1" x14ac:dyDescent="0.35">
      <c r="A100" s="24" t="s">
        <v>113</v>
      </c>
      <c r="B100" s="36">
        <v>9668</v>
      </c>
      <c r="C100" s="37">
        <v>4723</v>
      </c>
      <c r="D100" s="26"/>
      <c r="E100" s="26"/>
      <c r="F100" s="32">
        <f>AVERAGE(9668,7110)</f>
        <v>8389</v>
      </c>
      <c r="G100" s="32">
        <f>AVERAGE(4723,3670)</f>
        <v>4196.5</v>
      </c>
      <c r="H100" s="32">
        <f>F100</f>
        <v>8389</v>
      </c>
      <c r="I100" s="33">
        <f>G100</f>
        <v>4196.5</v>
      </c>
      <c r="J100" s="28">
        <v>2.25</v>
      </c>
      <c r="K100" s="29">
        <v>12.201495011938</v>
      </c>
      <c r="L100" s="30">
        <v>1367.20333333333</v>
      </c>
      <c r="M100" s="31">
        <v>11.777504837778</v>
      </c>
      <c r="N100" s="29">
        <v>1150</v>
      </c>
      <c r="O100" s="29">
        <v>2.2999999999999998</v>
      </c>
    </row>
    <row r="101" spans="1:15" ht="17" customHeight="1" x14ac:dyDescent="0.35">
      <c r="A101" s="24" t="s">
        <v>114</v>
      </c>
      <c r="B101" s="25"/>
      <c r="C101" s="26"/>
      <c r="D101" s="26"/>
      <c r="E101" s="26"/>
      <c r="F101" s="26"/>
      <c r="G101" s="26"/>
      <c r="H101" s="26"/>
      <c r="I101" s="27"/>
      <c r="J101" s="28"/>
      <c r="K101" s="29">
        <v>11.2390413688402</v>
      </c>
      <c r="L101" s="30">
        <v>1055.585</v>
      </c>
      <c r="M101" s="31">
        <v>11.4957577575526</v>
      </c>
      <c r="N101" s="29">
        <v>764</v>
      </c>
      <c r="O101" s="29">
        <v>1</v>
      </c>
    </row>
    <row r="102" spans="1:15" ht="17" customHeight="1" x14ac:dyDescent="0.35">
      <c r="A102" s="24" t="s">
        <v>115</v>
      </c>
      <c r="B102" s="25"/>
      <c r="C102" s="26"/>
      <c r="D102" s="34">
        <v>306268.185</v>
      </c>
      <c r="E102" s="34">
        <v>143537.035</v>
      </c>
      <c r="F102" s="32">
        <f>AVERAGE(312700,378400,311200)</f>
        <v>334100</v>
      </c>
      <c r="G102" s="32">
        <f>AVERAGE(214400,279000,218500)</f>
        <v>237300</v>
      </c>
      <c r="H102" s="34">
        <f>AVERAGE(D102,F102)</f>
        <v>320184.09250000003</v>
      </c>
      <c r="I102" s="35">
        <f>AVERAGE(E102,G102)</f>
        <v>190418.51750000002</v>
      </c>
      <c r="J102" s="28">
        <v>67.5</v>
      </c>
      <c r="K102" s="29">
        <v>346.23738666666702</v>
      </c>
      <c r="L102" s="30">
        <v>37522.474999999999</v>
      </c>
      <c r="M102" s="31">
        <v>341.29166666666703</v>
      </c>
      <c r="N102" s="29">
        <v>39100</v>
      </c>
      <c r="O102" s="29">
        <v>67.5</v>
      </c>
    </row>
    <row r="103" spans="1:15" ht="17" customHeight="1" x14ac:dyDescent="0.35">
      <c r="A103" s="24" t="s">
        <v>116</v>
      </c>
      <c r="B103" s="36">
        <v>382103</v>
      </c>
      <c r="C103" s="37">
        <v>291592</v>
      </c>
      <c r="D103" s="34">
        <v>349570.85499999998</v>
      </c>
      <c r="E103" s="34">
        <v>166489.29</v>
      </c>
      <c r="F103" s="34">
        <f>AVERAGE(265000,347000,405400,424700,382103,364140,337300)</f>
        <v>360806.14285714284</v>
      </c>
      <c r="G103" s="34">
        <f>AVERAGE(198300,262800,300100,297400,291592,266950,238000)</f>
        <v>265020.28571428574</v>
      </c>
      <c r="H103" s="34">
        <f>AVERAGE(F103,D103)</f>
        <v>355188.49892857141</v>
      </c>
      <c r="I103" s="35">
        <f>AVERAGE(G103,E103)</f>
        <v>215754.78785714286</v>
      </c>
      <c r="J103" s="28">
        <v>42.707142857142898</v>
      </c>
      <c r="K103" s="29">
        <v>376.12546072836898</v>
      </c>
      <c r="L103" s="30">
        <v>48328</v>
      </c>
      <c r="M103" s="31">
        <v>368.34930892814401</v>
      </c>
      <c r="N103" s="29">
        <v>44966.666666666701</v>
      </c>
      <c r="O103" s="29">
        <v>42.707142857142898</v>
      </c>
    </row>
    <row r="104" spans="1:15" ht="17" customHeight="1" x14ac:dyDescent="0.35">
      <c r="A104" s="24" t="s">
        <v>117</v>
      </c>
      <c r="B104" s="38">
        <v>190957</v>
      </c>
      <c r="C104" s="32">
        <v>140142</v>
      </c>
      <c r="D104" s="26"/>
      <c r="E104" s="26"/>
      <c r="F104" s="37">
        <v>190957</v>
      </c>
      <c r="G104" s="37">
        <v>140142</v>
      </c>
      <c r="H104" s="32">
        <f>B104</f>
        <v>190957</v>
      </c>
      <c r="I104" s="33">
        <f>C104</f>
        <v>140142</v>
      </c>
      <c r="J104" s="28">
        <v>47.045161290322604</v>
      </c>
      <c r="K104" s="29">
        <v>171.79753741318501</v>
      </c>
      <c r="L104" s="30">
        <v>17209.52</v>
      </c>
      <c r="M104" s="31">
        <v>167.42390756818901</v>
      </c>
      <c r="N104" s="29">
        <v>18150</v>
      </c>
      <c r="O104" s="29">
        <v>47.045161290322604</v>
      </c>
    </row>
    <row r="105" spans="1:15" ht="17" customHeight="1" x14ac:dyDescent="0.35">
      <c r="A105" s="24" t="s">
        <v>118</v>
      </c>
      <c r="B105" s="25"/>
      <c r="C105" s="26"/>
      <c r="D105" s="26"/>
      <c r="E105" s="26"/>
      <c r="F105" s="32">
        <v>143300</v>
      </c>
      <c r="G105" s="32">
        <v>100100</v>
      </c>
      <c r="H105" s="32">
        <f>F105</f>
        <v>143300</v>
      </c>
      <c r="I105" s="33">
        <f>G105</f>
        <v>100100</v>
      </c>
      <c r="J105" s="28">
        <v>48.204999999999998</v>
      </c>
      <c r="K105" s="29">
        <v>169.40794774621199</v>
      </c>
      <c r="L105" s="30">
        <v>14290.7166666667</v>
      </c>
      <c r="M105" s="31">
        <v>163.18690324880899</v>
      </c>
      <c r="N105" s="29">
        <v>17150</v>
      </c>
      <c r="O105" s="29">
        <v>48.204999999999998</v>
      </c>
    </row>
    <row r="106" spans="1:15" ht="17" customHeight="1" x14ac:dyDescent="0.35">
      <c r="A106" s="24" t="s">
        <v>119</v>
      </c>
      <c r="B106" s="25"/>
      <c r="C106" s="26"/>
      <c r="D106" s="34">
        <v>168266.3</v>
      </c>
      <c r="E106" s="34">
        <v>85309.2</v>
      </c>
      <c r="F106" s="32">
        <v>159110</v>
      </c>
      <c r="G106" s="32">
        <v>118780</v>
      </c>
      <c r="H106" s="34">
        <f>AVERAGE(F106,D106)</f>
        <v>163688.15</v>
      </c>
      <c r="I106" s="35">
        <f>AVERAGE(G106,E106)</f>
        <v>102044.6</v>
      </c>
      <c r="J106" s="28">
        <v>41.125</v>
      </c>
      <c r="K106" s="29">
        <v>154.4376</v>
      </c>
      <c r="L106" s="30">
        <v>12002.36</v>
      </c>
      <c r="M106" s="31">
        <v>146.166666666667</v>
      </c>
      <c r="N106" s="29">
        <v>14150</v>
      </c>
      <c r="O106" s="29">
        <v>41.125</v>
      </c>
    </row>
    <row r="107" spans="1:15" ht="17" customHeight="1" x14ac:dyDescent="0.35">
      <c r="A107" s="24" t="s">
        <v>120</v>
      </c>
      <c r="B107" s="25"/>
      <c r="C107" s="26"/>
      <c r="D107" s="26"/>
      <c r="E107" s="26"/>
      <c r="F107" s="26"/>
      <c r="G107" s="26"/>
      <c r="H107" s="26"/>
      <c r="I107" s="27"/>
      <c r="J107" s="28"/>
      <c r="K107" s="29">
        <v>195.43347216714</v>
      </c>
      <c r="L107" s="30">
        <v>20014.72</v>
      </c>
      <c r="M107" s="31">
        <v>178</v>
      </c>
      <c r="N107" s="29">
        <v>22300</v>
      </c>
      <c r="O107" s="29">
        <v>57.1</v>
      </c>
    </row>
    <row r="108" spans="1:15" ht="17" customHeight="1" x14ac:dyDescent="0.35">
      <c r="A108" s="24" t="s">
        <v>121</v>
      </c>
      <c r="B108" s="36">
        <v>13212</v>
      </c>
      <c r="C108" s="37">
        <v>6683</v>
      </c>
      <c r="D108" s="26"/>
      <c r="E108" s="26"/>
      <c r="F108" s="32">
        <f>AVERAGE(13212,10160)</f>
        <v>11686</v>
      </c>
      <c r="G108" s="32">
        <f>AVERAGE(6683,4550)</f>
        <v>5616.5</v>
      </c>
      <c r="H108" s="32">
        <f>F108</f>
        <v>11686</v>
      </c>
      <c r="I108" s="33">
        <f>G108</f>
        <v>5616.5</v>
      </c>
      <c r="J108" s="28">
        <v>1.25</v>
      </c>
      <c r="K108" s="29">
        <v>12.845604154205001</v>
      </c>
      <c r="L108" s="30">
        <v>1124.4922222222201</v>
      </c>
      <c r="M108" s="31">
        <v>12.4155365059456</v>
      </c>
      <c r="N108" s="29">
        <v>835.01778846153798</v>
      </c>
      <c r="O108" s="29">
        <v>1</v>
      </c>
    </row>
    <row r="109" spans="1:15" ht="17" customHeight="1" x14ac:dyDescent="0.35">
      <c r="A109" s="24" t="s">
        <v>122</v>
      </c>
      <c r="B109" s="38">
        <v>73818</v>
      </c>
      <c r="C109" s="32">
        <v>50906</v>
      </c>
      <c r="D109" s="26"/>
      <c r="E109" s="26"/>
      <c r="F109" s="37">
        <v>73818</v>
      </c>
      <c r="G109" s="37">
        <v>50906</v>
      </c>
      <c r="H109" s="32">
        <f>B109</f>
        <v>73818</v>
      </c>
      <c r="I109" s="33">
        <f>C109</f>
        <v>50906</v>
      </c>
      <c r="J109" s="28">
        <v>29.18</v>
      </c>
      <c r="K109" s="29">
        <v>65.967766664734995</v>
      </c>
      <c r="L109" s="30">
        <v>8105</v>
      </c>
      <c r="M109" s="31">
        <v>63.587276393157602</v>
      </c>
      <c r="N109" s="29">
        <v>8285</v>
      </c>
      <c r="O109" s="29">
        <v>34</v>
      </c>
    </row>
    <row r="110" spans="1:15" ht="17" customHeight="1" x14ac:dyDescent="0.35">
      <c r="A110" s="24" t="s">
        <v>123</v>
      </c>
      <c r="B110" s="25"/>
      <c r="C110" s="26"/>
      <c r="D110" s="40"/>
      <c r="E110" s="26"/>
      <c r="F110" s="26"/>
      <c r="G110" s="26"/>
      <c r="H110" s="40"/>
      <c r="I110" s="27"/>
      <c r="J110" s="28">
        <v>2.65</v>
      </c>
      <c r="K110" s="29">
        <v>33.351977233099198</v>
      </c>
      <c r="L110" s="30">
        <v>1573.595</v>
      </c>
      <c r="M110" s="31">
        <v>32.263509987946797</v>
      </c>
      <c r="N110" s="29">
        <v>1760</v>
      </c>
      <c r="O110" s="29">
        <v>2.7</v>
      </c>
    </row>
    <row r="111" spans="1:15" ht="17" customHeight="1" x14ac:dyDescent="0.35">
      <c r="A111" s="24" t="s">
        <v>124</v>
      </c>
      <c r="B111" s="25"/>
      <c r="C111" s="26"/>
      <c r="D111" s="40"/>
      <c r="E111" s="26"/>
      <c r="F111" s="26"/>
      <c r="G111" s="26"/>
      <c r="H111" s="40"/>
      <c r="I111" s="27"/>
      <c r="J111" s="28">
        <v>2</v>
      </c>
      <c r="K111" s="29">
        <v>409.51984477143799</v>
      </c>
      <c r="L111" s="30">
        <v>48223.06</v>
      </c>
      <c r="M111" s="31">
        <v>389.4952510274</v>
      </c>
      <c r="N111" s="29">
        <v>62815.25</v>
      </c>
      <c r="O111" s="29">
        <v>2</v>
      </c>
    </row>
    <row r="112" spans="1:15" ht="17" customHeight="1" x14ac:dyDescent="0.35">
      <c r="A112" s="24" t="s">
        <v>125</v>
      </c>
      <c r="B112" s="25"/>
      <c r="C112" s="26"/>
      <c r="D112" s="34">
        <v>323450.53999999998</v>
      </c>
      <c r="E112" s="34">
        <v>164492.87</v>
      </c>
      <c r="F112" s="34">
        <f>AVERAGE(308500,333000,356200,424700,406900)</f>
        <v>365860</v>
      </c>
      <c r="G112" s="32">
        <f>AVERAGE(219800,240300,268500,298900,287700)</f>
        <v>263040</v>
      </c>
      <c r="H112" s="34">
        <f>AVERAGE(D112,F112)</f>
        <v>344655.27</v>
      </c>
      <c r="I112" s="35">
        <f>AVERAGE(E112,G112)</f>
        <v>213766.435</v>
      </c>
      <c r="J112" s="28">
        <v>1.6</v>
      </c>
      <c r="K112" s="29">
        <v>382.45650846571698</v>
      </c>
      <c r="L112" s="30">
        <v>55279.144999999997</v>
      </c>
      <c r="M112" s="31">
        <v>377.37685405740598</v>
      </c>
      <c r="N112" s="29">
        <v>58542.2467532468</v>
      </c>
      <c r="O112" s="29">
        <v>1.5</v>
      </c>
    </row>
    <row r="113" spans="1:15" ht="17" customHeight="1" x14ac:dyDescent="0.35">
      <c r="A113" s="24" t="s">
        <v>126</v>
      </c>
      <c r="B113" s="25"/>
      <c r="C113" s="26"/>
      <c r="D113" s="26"/>
      <c r="E113" s="26"/>
      <c r="F113" s="26"/>
      <c r="G113" s="26"/>
      <c r="H113" s="26"/>
      <c r="I113" s="27"/>
      <c r="J113" s="28"/>
      <c r="K113" s="29">
        <v>66.905043289106004</v>
      </c>
      <c r="L113" s="30">
        <v>5326.3733333333303</v>
      </c>
      <c r="M113" s="31">
        <v>64.848742983724705</v>
      </c>
      <c r="N113" s="29">
        <v>6560.4481818181803</v>
      </c>
      <c r="O113" s="29">
        <v>11.6</v>
      </c>
    </row>
    <row r="114" spans="1:15" ht="17" customHeight="1" x14ac:dyDescent="0.35">
      <c r="A114" s="24" t="s">
        <v>127</v>
      </c>
      <c r="B114" s="25"/>
      <c r="C114" s="26"/>
      <c r="D114" s="26"/>
      <c r="E114" s="26"/>
      <c r="F114" s="26"/>
      <c r="G114" s="26"/>
      <c r="H114" s="26"/>
      <c r="I114" s="27"/>
      <c r="J114" s="28"/>
      <c r="K114" s="29">
        <v>54.528711236560298</v>
      </c>
      <c r="L114" s="30">
        <v>4025</v>
      </c>
      <c r="M114" s="31">
        <v>52.600388068454698</v>
      </c>
      <c r="N114" s="29">
        <v>4450</v>
      </c>
      <c r="O114" s="29">
        <v>6.3</v>
      </c>
    </row>
    <row r="115" spans="1:15" ht="17" customHeight="1" x14ac:dyDescent="0.35">
      <c r="A115" s="24" t="s">
        <v>128</v>
      </c>
      <c r="B115" s="25"/>
      <c r="C115" s="26"/>
      <c r="D115" s="26"/>
      <c r="E115" s="26"/>
      <c r="F115" s="26"/>
      <c r="G115" s="26"/>
      <c r="H115" s="26"/>
      <c r="I115" s="27"/>
      <c r="J115" s="28"/>
      <c r="K115" s="29">
        <v>41.232096795600597</v>
      </c>
      <c r="L115" s="30">
        <v>7500</v>
      </c>
      <c r="M115" s="31">
        <v>39.799321231274703</v>
      </c>
      <c r="N115" s="29">
        <v>6130</v>
      </c>
      <c r="O115" s="29">
        <v>5.0999999999999996</v>
      </c>
    </row>
    <row r="116" spans="1:15" ht="17" customHeight="1" x14ac:dyDescent="0.35">
      <c r="A116" s="24" t="s">
        <v>129</v>
      </c>
      <c r="B116" s="36">
        <v>25194</v>
      </c>
      <c r="C116" s="37">
        <v>13170</v>
      </c>
      <c r="D116" s="26"/>
      <c r="E116" s="26"/>
      <c r="F116" s="32">
        <f>AVERAGE(25194,25190)</f>
        <v>25192</v>
      </c>
      <c r="G116" s="32">
        <f>AVERAGE(13170,12190)</f>
        <v>12680</v>
      </c>
      <c r="H116" s="32">
        <f>F116</f>
        <v>25192</v>
      </c>
      <c r="I116" s="33">
        <f>G116</f>
        <v>12680</v>
      </c>
      <c r="J116" s="28">
        <v>5.92</v>
      </c>
      <c r="K116" s="29">
        <v>27.0494513866667</v>
      </c>
      <c r="L116" s="30">
        <v>3389.42</v>
      </c>
      <c r="M116" s="31">
        <v>26.2058828571429</v>
      </c>
      <c r="N116" s="29">
        <v>2955</v>
      </c>
      <c r="O116" s="29">
        <v>5.9</v>
      </c>
    </row>
    <row r="117" spans="1:15" ht="17" customHeight="1" x14ac:dyDescent="0.35">
      <c r="A117" s="24" t="s">
        <v>130</v>
      </c>
      <c r="B117" s="25"/>
      <c r="C117" s="26"/>
      <c r="D117" s="26"/>
      <c r="E117" s="26"/>
      <c r="F117" s="26"/>
      <c r="G117" s="26"/>
      <c r="H117" s="26"/>
      <c r="I117" s="27"/>
      <c r="J117" s="28"/>
      <c r="K117" s="29"/>
      <c r="L117" s="30"/>
      <c r="M117" s="31">
        <v>85.858517527870504</v>
      </c>
      <c r="N117" s="29">
        <v>9720</v>
      </c>
      <c r="O117" s="29">
        <v>25</v>
      </c>
    </row>
    <row r="118" spans="1:15" ht="17" customHeight="1" x14ac:dyDescent="0.35">
      <c r="A118" s="24" t="s">
        <v>131</v>
      </c>
      <c r="B118" s="38">
        <v>72530</v>
      </c>
      <c r="C118" s="32">
        <v>48763</v>
      </c>
      <c r="D118" s="26"/>
      <c r="E118" s="26"/>
      <c r="F118" s="37">
        <v>72530</v>
      </c>
      <c r="G118" s="37">
        <v>48763</v>
      </c>
      <c r="H118" s="32">
        <f>B118</f>
        <v>72530</v>
      </c>
      <c r="I118" s="33">
        <f>C118</f>
        <v>48763</v>
      </c>
      <c r="J118" s="28">
        <v>21.45</v>
      </c>
      <c r="K118" s="29">
        <v>91.956358955531499</v>
      </c>
      <c r="L118" s="30">
        <v>9250.3666666666704</v>
      </c>
      <c r="M118" s="31"/>
      <c r="N118" s="29"/>
      <c r="O118" s="29">
        <v>21.45</v>
      </c>
    </row>
    <row r="119" spans="1:15" ht="17" customHeight="1" x14ac:dyDescent="0.35">
      <c r="A119" s="24" t="s">
        <v>132</v>
      </c>
      <c r="B119" s="25"/>
      <c r="C119" s="26"/>
      <c r="D119" s="34">
        <v>8200.26</v>
      </c>
      <c r="E119" s="34">
        <v>4246.0200000000004</v>
      </c>
      <c r="F119" s="26"/>
      <c r="G119" s="26"/>
      <c r="H119" s="34">
        <f>D119</f>
        <v>8200.26</v>
      </c>
      <c r="I119" s="35">
        <f>E119</f>
        <v>4246.0200000000004</v>
      </c>
      <c r="J119" s="28">
        <v>5.7</v>
      </c>
      <c r="K119" s="29">
        <v>8.1471655255963107</v>
      </c>
      <c r="L119" s="30">
        <v>406.83</v>
      </c>
      <c r="M119" s="31">
        <v>7.9385709049979498</v>
      </c>
      <c r="N119" s="29">
        <v>400.569444444444</v>
      </c>
      <c r="O119" s="29">
        <v>5.7</v>
      </c>
    </row>
    <row r="120" spans="1:15" ht="17" customHeight="1" x14ac:dyDescent="0.35">
      <c r="A120" s="24" t="s">
        <v>133</v>
      </c>
      <c r="B120" s="25"/>
      <c r="C120" s="26"/>
      <c r="D120" s="26"/>
      <c r="E120" s="26"/>
      <c r="F120" s="26"/>
      <c r="G120" s="26"/>
      <c r="H120" s="26"/>
      <c r="I120" s="27"/>
      <c r="J120" s="28">
        <v>5.15</v>
      </c>
      <c r="K120" s="29">
        <v>14.1294075699029</v>
      </c>
      <c r="L120" s="30">
        <v>495.9</v>
      </c>
      <c r="M120" s="31">
        <v>10.136208952983999</v>
      </c>
      <c r="N120" s="29">
        <v>516.88095238095195</v>
      </c>
      <c r="O120" s="29">
        <v>5.2</v>
      </c>
    </row>
    <row r="121" spans="1:15" ht="17" customHeight="1" x14ac:dyDescent="0.35">
      <c r="A121" s="24" t="s">
        <v>134</v>
      </c>
      <c r="B121" s="25"/>
      <c r="C121" s="26"/>
      <c r="D121" s="34">
        <v>9370.8799999999992</v>
      </c>
      <c r="E121" s="34">
        <v>5012.38</v>
      </c>
      <c r="F121" s="26"/>
      <c r="G121" s="26"/>
      <c r="H121" s="34">
        <f>D121</f>
        <v>9370.8799999999992</v>
      </c>
      <c r="I121" s="35">
        <f>E121</f>
        <v>5012.38</v>
      </c>
      <c r="J121" s="28">
        <v>4</v>
      </c>
      <c r="K121" s="29"/>
      <c r="L121" s="30"/>
      <c r="M121" s="31"/>
      <c r="N121" s="29"/>
      <c r="O121" s="29">
        <v>4</v>
      </c>
    </row>
    <row r="122" spans="1:15" ht="17" customHeight="1" x14ac:dyDescent="0.35">
      <c r="A122" s="24" t="s">
        <v>135</v>
      </c>
      <c r="B122" s="38">
        <v>9569</v>
      </c>
      <c r="C122" s="32">
        <v>5883</v>
      </c>
      <c r="D122" s="34">
        <v>10782.87</v>
      </c>
      <c r="E122" s="34">
        <v>5863.16</v>
      </c>
      <c r="F122" s="37">
        <v>9569</v>
      </c>
      <c r="G122" s="37">
        <v>5883</v>
      </c>
      <c r="H122" s="34">
        <f>AVERAGE(B122,D122)</f>
        <v>10175.935000000001</v>
      </c>
      <c r="I122" s="35">
        <f>AVERAGE(C122,E122)</f>
        <v>5873.08</v>
      </c>
      <c r="J122" s="28">
        <v>5</v>
      </c>
      <c r="K122" s="29">
        <v>10.122701059646101</v>
      </c>
      <c r="L122" s="30">
        <v>551.45333333333303</v>
      </c>
      <c r="M122" s="31">
        <v>9.7839000551071305</v>
      </c>
      <c r="N122" s="29">
        <v>563</v>
      </c>
      <c r="O122" s="29">
        <v>5</v>
      </c>
    </row>
    <row r="123" spans="1:15" ht="17" customHeight="1" x14ac:dyDescent="0.35">
      <c r="A123" s="24" t="s">
        <v>136</v>
      </c>
      <c r="B123" s="25"/>
      <c r="C123" s="26"/>
      <c r="D123" s="26"/>
      <c r="E123" s="26"/>
      <c r="F123" s="26"/>
      <c r="G123" s="26"/>
      <c r="H123" s="26"/>
      <c r="I123" s="27"/>
      <c r="J123" s="28"/>
      <c r="K123" s="29">
        <v>11.523492794257001</v>
      </c>
      <c r="L123" s="30">
        <v>541.21857142857095</v>
      </c>
      <c r="M123" s="31">
        <v>11.087294097245399</v>
      </c>
      <c r="N123" s="29">
        <v>583.625</v>
      </c>
      <c r="O123" s="29">
        <v>5.5</v>
      </c>
    </row>
    <row r="124" spans="1:15" ht="17" customHeight="1" x14ac:dyDescent="0.35">
      <c r="A124" s="24" t="s">
        <v>137</v>
      </c>
      <c r="B124" s="25"/>
      <c r="C124" s="26"/>
      <c r="D124" s="26"/>
      <c r="E124" s="26"/>
      <c r="F124" s="26"/>
      <c r="G124" s="26"/>
      <c r="H124" s="26"/>
      <c r="I124" s="27"/>
      <c r="J124" s="28"/>
      <c r="K124" s="29"/>
      <c r="L124" s="30"/>
      <c r="M124" s="31">
        <v>9.4811176906741395</v>
      </c>
      <c r="N124" s="29">
        <v>375</v>
      </c>
      <c r="O124" s="29">
        <v>6.3</v>
      </c>
    </row>
    <row r="125" spans="1:15" ht="17" customHeight="1" x14ac:dyDescent="0.35">
      <c r="A125" s="24" t="s">
        <v>138</v>
      </c>
      <c r="B125" s="38">
        <v>9537</v>
      </c>
      <c r="C125" s="32">
        <v>5894</v>
      </c>
      <c r="D125" s="34">
        <v>10673.28</v>
      </c>
      <c r="E125" s="34">
        <v>5996.43</v>
      </c>
      <c r="F125" s="37">
        <v>9537</v>
      </c>
      <c r="G125" s="37">
        <v>5894</v>
      </c>
      <c r="H125" s="34">
        <f>AVERAGE(D125,B125)</f>
        <v>10105.14</v>
      </c>
      <c r="I125" s="35">
        <f>AVERAGE(E125,C125)</f>
        <v>5945.2150000000001</v>
      </c>
      <c r="J125" s="28">
        <v>6.2983333333333302</v>
      </c>
      <c r="K125" s="29">
        <v>9.75972542472039</v>
      </c>
      <c r="L125" s="30">
        <v>388.84666666666698</v>
      </c>
      <c r="M125" s="31">
        <v>9.7578196984182206</v>
      </c>
      <c r="N125" s="29">
        <v>430.862007168459</v>
      </c>
      <c r="O125" s="29">
        <v>6.3</v>
      </c>
    </row>
    <row r="126" spans="1:15" ht="17" customHeight="1" x14ac:dyDescent="0.35">
      <c r="A126" s="24" t="s">
        <v>139</v>
      </c>
      <c r="B126" s="25"/>
      <c r="C126" s="26"/>
      <c r="D126" s="34">
        <v>21657.87</v>
      </c>
      <c r="E126" s="34">
        <v>12418.81</v>
      </c>
      <c r="F126" s="26"/>
      <c r="G126" s="26"/>
      <c r="H126" s="34">
        <f>D126</f>
        <v>21657.87</v>
      </c>
      <c r="I126" s="35">
        <f>E126</f>
        <v>12418.81</v>
      </c>
      <c r="J126" s="28">
        <v>20</v>
      </c>
      <c r="K126" s="29">
        <v>25.739917937574301</v>
      </c>
      <c r="L126" s="30">
        <v>707.22500000000002</v>
      </c>
      <c r="M126" s="31"/>
      <c r="N126" s="29"/>
      <c r="O126" s="29">
        <v>20</v>
      </c>
    </row>
    <row r="127" spans="1:15" ht="17" customHeight="1" x14ac:dyDescent="0.35">
      <c r="A127" s="24" t="s">
        <v>140</v>
      </c>
      <c r="B127" s="25"/>
      <c r="C127" s="26"/>
      <c r="D127" s="26"/>
      <c r="E127" s="26"/>
      <c r="F127" s="26"/>
      <c r="G127" s="26"/>
      <c r="H127" s="26"/>
      <c r="I127" s="27"/>
      <c r="J127" s="28"/>
      <c r="K127" s="29">
        <v>23.108472268718</v>
      </c>
      <c r="L127" s="30">
        <v>670</v>
      </c>
      <c r="M127" s="31">
        <v>25.065998888888899</v>
      </c>
      <c r="N127" s="29">
        <v>788.5</v>
      </c>
      <c r="O127" s="29">
        <v>50</v>
      </c>
    </row>
    <row r="128" spans="1:15" ht="17" customHeight="1" x14ac:dyDescent="0.35">
      <c r="A128" s="24" t="s">
        <v>141</v>
      </c>
      <c r="B128" s="36">
        <v>22572</v>
      </c>
      <c r="C128" s="37">
        <v>15541</v>
      </c>
      <c r="D128" s="34">
        <v>21642.560000000001</v>
      </c>
      <c r="E128" s="34">
        <v>12190.01</v>
      </c>
      <c r="F128" s="34">
        <f>AVERAGE(22572,21220,23100)</f>
        <v>22297.333333333332</v>
      </c>
      <c r="G128" s="34">
        <f>AVERAGE(15541,14140,16500)</f>
        <v>15393.666666666666</v>
      </c>
      <c r="H128" s="34">
        <f>AVERAGE(D128,F128)</f>
        <v>21969.946666666667</v>
      </c>
      <c r="I128" s="35">
        <f>AVERAGE(E128,G128)</f>
        <v>13791.838333333333</v>
      </c>
      <c r="J128" s="28">
        <v>37.808333333333302</v>
      </c>
      <c r="K128" s="29">
        <v>24.1417310745713</v>
      </c>
      <c r="L128" s="30">
        <v>811.49</v>
      </c>
      <c r="M128" s="31">
        <v>24.136480861091201</v>
      </c>
      <c r="N128" s="29">
        <v>798.73511904761904</v>
      </c>
      <c r="O128" s="29">
        <v>37.799999999999997</v>
      </c>
    </row>
    <row r="129" spans="1:15" ht="17" customHeight="1" x14ac:dyDescent="0.35">
      <c r="A129" s="24" t="s">
        <v>142</v>
      </c>
      <c r="B129" s="25"/>
      <c r="C129" s="26"/>
      <c r="D129" s="26"/>
      <c r="E129" s="26"/>
      <c r="F129" s="32">
        <v>107540</v>
      </c>
      <c r="G129" s="32">
        <v>76110</v>
      </c>
      <c r="H129" s="32">
        <f>F129</f>
        <v>107540</v>
      </c>
      <c r="I129" s="33">
        <f>G129</f>
        <v>76110</v>
      </c>
      <c r="J129" s="28">
        <v>24.75</v>
      </c>
      <c r="K129" s="29">
        <v>113.780377809759</v>
      </c>
      <c r="L129" s="30">
        <v>11398.7633333333</v>
      </c>
      <c r="M129" s="31"/>
      <c r="N129" s="29"/>
      <c r="O129" s="29">
        <v>24.75</v>
      </c>
    </row>
    <row r="130" spans="1:15" ht="17" customHeight="1" x14ac:dyDescent="0.35">
      <c r="A130" s="24" t="s">
        <v>143</v>
      </c>
      <c r="B130" s="25"/>
      <c r="C130" s="26"/>
      <c r="D130" s="26"/>
      <c r="E130" s="26"/>
      <c r="F130" s="26"/>
      <c r="G130" s="26"/>
      <c r="H130" s="26"/>
      <c r="I130" s="27"/>
      <c r="J130" s="28">
        <v>3.86</v>
      </c>
      <c r="K130" s="29">
        <v>128.889137849375</v>
      </c>
      <c r="L130" s="30">
        <v>9246.3333333333303</v>
      </c>
      <c r="M130" s="31">
        <v>123.504799012476</v>
      </c>
      <c r="N130" s="29">
        <v>11295</v>
      </c>
      <c r="O130" s="29">
        <v>3.9</v>
      </c>
    </row>
    <row r="131" spans="1:15" ht="17" customHeight="1" x14ac:dyDescent="0.35">
      <c r="A131" s="24" t="s">
        <v>144</v>
      </c>
      <c r="B131" s="25"/>
      <c r="C131" s="26"/>
      <c r="D131" s="26"/>
      <c r="E131" s="26"/>
      <c r="F131" s="26"/>
      <c r="G131" s="26"/>
      <c r="H131" s="26"/>
      <c r="I131" s="27"/>
      <c r="J131" s="28"/>
      <c r="K131" s="29">
        <v>3.2498395265997102</v>
      </c>
      <c r="L131" s="30">
        <v>104.83</v>
      </c>
      <c r="M131" s="31">
        <v>3.1648440627918202</v>
      </c>
      <c r="N131" s="29">
        <v>125.5</v>
      </c>
      <c r="O131" s="29">
        <v>1</v>
      </c>
    </row>
    <row r="132" spans="1:15" ht="17" customHeight="1" x14ac:dyDescent="0.35">
      <c r="A132" s="24" t="s">
        <v>145</v>
      </c>
      <c r="B132" s="25"/>
      <c r="C132" s="26"/>
      <c r="D132" s="26"/>
      <c r="E132" s="26"/>
      <c r="F132" s="32">
        <f>AVERAGE(3393,3060)</f>
        <v>3226.5</v>
      </c>
      <c r="G132" s="32">
        <f>AVERAGE(1768,1620)</f>
        <v>1694</v>
      </c>
      <c r="H132" s="32">
        <f>F132</f>
        <v>3226.5</v>
      </c>
      <c r="I132" s="33">
        <f>G132</f>
        <v>1694</v>
      </c>
      <c r="J132" s="28">
        <v>2</v>
      </c>
      <c r="K132" s="29">
        <v>3.47963553155556</v>
      </c>
      <c r="L132" s="30">
        <v>107.536666666667</v>
      </c>
      <c r="M132" s="31">
        <v>3.3587215555555598</v>
      </c>
      <c r="N132" s="29">
        <v>125.5</v>
      </c>
      <c r="O132" s="29">
        <v>2</v>
      </c>
    </row>
    <row r="133" spans="1:15" ht="17" customHeight="1" x14ac:dyDescent="0.35">
      <c r="A133" s="24" t="s">
        <v>146</v>
      </c>
      <c r="B133" s="25"/>
      <c r="C133" s="26"/>
      <c r="D133" s="26"/>
      <c r="E133" s="26"/>
      <c r="F133" s="26"/>
      <c r="G133" s="26"/>
      <c r="H133" s="26"/>
      <c r="I133" s="27"/>
      <c r="J133" s="28"/>
      <c r="K133" s="29">
        <v>136.20732394285699</v>
      </c>
      <c r="L133" s="30">
        <v>14788.0366666667</v>
      </c>
      <c r="M133" s="31">
        <v>133.32707926136399</v>
      </c>
      <c r="N133" s="29">
        <v>15350</v>
      </c>
      <c r="O133" s="29">
        <v>10</v>
      </c>
    </row>
    <row r="134" spans="1:15" ht="17" customHeight="1" x14ac:dyDescent="0.35">
      <c r="A134" s="24" t="s">
        <v>147</v>
      </c>
      <c r="B134" s="25"/>
      <c r="C134" s="26"/>
      <c r="D134" s="26"/>
      <c r="E134" s="26"/>
      <c r="F134" s="26"/>
      <c r="G134" s="26"/>
      <c r="H134" s="26"/>
      <c r="I134" s="27"/>
      <c r="J134" s="28"/>
      <c r="K134" s="29">
        <v>59.147514037722999</v>
      </c>
      <c r="L134" s="30">
        <v>5453.9366666666701</v>
      </c>
      <c r="M134" s="31">
        <v>57.860715624376702</v>
      </c>
      <c r="N134" s="29">
        <v>6393.8930555555598</v>
      </c>
      <c r="O134" s="29">
        <v>22.8</v>
      </c>
    </row>
    <row r="135" spans="1:15" ht="17" customHeight="1" x14ac:dyDescent="0.35">
      <c r="A135" s="24" t="s">
        <v>148</v>
      </c>
      <c r="B135" s="25"/>
      <c r="C135" s="26"/>
      <c r="D135" s="26"/>
      <c r="E135" s="26"/>
      <c r="F135" s="26"/>
      <c r="G135" s="26"/>
      <c r="H135" s="26"/>
      <c r="I135" s="27"/>
      <c r="J135" s="28"/>
      <c r="K135" s="29"/>
      <c r="L135" s="30"/>
      <c r="M135" s="31">
        <v>81.3</v>
      </c>
      <c r="N135" s="29">
        <v>10150</v>
      </c>
      <c r="O135" s="29">
        <v>12.5</v>
      </c>
    </row>
    <row r="136" spans="1:15" ht="17" customHeight="1" x14ac:dyDescent="0.35">
      <c r="A136" s="24" t="s">
        <v>149</v>
      </c>
      <c r="B136" s="25"/>
      <c r="C136" s="26"/>
      <c r="D136" s="26"/>
      <c r="E136" s="26"/>
      <c r="F136" s="26"/>
      <c r="G136" s="26"/>
      <c r="H136" s="26"/>
      <c r="I136" s="27"/>
      <c r="J136" s="28"/>
      <c r="K136" s="29">
        <v>86.481893894225607</v>
      </c>
      <c r="L136" s="30">
        <v>11098.36</v>
      </c>
      <c r="M136" s="31">
        <v>84.6</v>
      </c>
      <c r="N136" s="29">
        <v>11600</v>
      </c>
      <c r="O136" s="29">
        <v>14.8</v>
      </c>
    </row>
    <row r="137" spans="1:15" ht="15" customHeight="1" x14ac:dyDescent="0.35">
      <c r="A137" s="24" t="s">
        <v>150</v>
      </c>
      <c r="B137" s="25"/>
      <c r="C137" s="26"/>
      <c r="D137" s="26"/>
      <c r="E137" s="26"/>
      <c r="F137" s="26"/>
      <c r="G137" s="26"/>
      <c r="H137" s="26"/>
      <c r="I137" s="27"/>
      <c r="J137" s="28"/>
      <c r="K137" s="29">
        <v>63.662548769204697</v>
      </c>
      <c r="L137" s="30">
        <v>5775.96</v>
      </c>
      <c r="M137" s="31">
        <v>62.1173352567492</v>
      </c>
      <c r="N137" s="29">
        <v>7055.8388888888903</v>
      </c>
      <c r="O137" s="29">
        <v>17</v>
      </c>
    </row>
    <row r="138" spans="1:15" ht="15" customHeight="1" x14ac:dyDescent="0.35">
      <c r="A138" s="24" t="s">
        <v>151</v>
      </c>
      <c r="B138" s="25"/>
      <c r="C138" s="26"/>
      <c r="D138" s="26"/>
      <c r="E138" s="26"/>
      <c r="F138" s="26"/>
      <c r="G138" s="26"/>
      <c r="H138" s="26"/>
      <c r="I138" s="27"/>
      <c r="J138" s="28"/>
      <c r="K138" s="29">
        <v>63.499001932946697</v>
      </c>
      <c r="L138" s="30">
        <v>7705.69333333333</v>
      </c>
      <c r="M138" s="31">
        <v>61.2924729082497</v>
      </c>
      <c r="N138" s="29">
        <v>6237</v>
      </c>
      <c r="O138" s="29">
        <v>8.8000000000000007</v>
      </c>
    </row>
    <row r="139" spans="1:15" ht="15" customHeight="1" x14ac:dyDescent="0.35">
      <c r="A139" s="24" t="s">
        <v>152</v>
      </c>
      <c r="B139" s="38">
        <v>29713</v>
      </c>
      <c r="C139" s="32">
        <v>15293</v>
      </c>
      <c r="D139" s="26"/>
      <c r="E139" s="26"/>
      <c r="F139" s="37">
        <v>29713</v>
      </c>
      <c r="G139" s="37">
        <v>15293</v>
      </c>
      <c r="H139" s="32">
        <f>B139</f>
        <v>29713</v>
      </c>
      <c r="I139" s="33">
        <f>C139</f>
        <v>15293</v>
      </c>
      <c r="J139" s="28">
        <v>5.93333333333333</v>
      </c>
      <c r="K139" s="29">
        <v>32.639348002245598</v>
      </c>
      <c r="L139" s="30">
        <v>3335</v>
      </c>
      <c r="M139" s="31">
        <v>32.122643074773997</v>
      </c>
      <c r="N139" s="29">
        <v>3575</v>
      </c>
      <c r="O139" s="29">
        <v>5.9</v>
      </c>
    </row>
  </sheetData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Neocortex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Lindenfors</dc:creator>
  <cp:lastModifiedBy>Patrik Lindenfors</cp:lastModifiedBy>
  <dcterms:created xsi:type="dcterms:W3CDTF">2021-03-19T14:06:20Z</dcterms:created>
  <dcterms:modified xsi:type="dcterms:W3CDTF">2021-03-22T13:23:27Z</dcterms:modified>
</cp:coreProperties>
</file>