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osse\Documents\Recherche\These\GQ_Selfing_persepctives_[FINI]\Analyses\"/>
    </mc:Choice>
  </mc:AlternateContent>
  <xr:revisionPtr revIDLastSave="0" documentId="13_ncr:1_{C30AC39F-4E94-4DE0-8A13-130AF9264E7B}" xr6:coauthVersionLast="47" xr6:coauthVersionMax="47" xr10:uidLastSave="{00000000-0000-0000-0000-000000000000}"/>
  <bookViews>
    <workbookView xWindow="6540" yWindow="20" windowWidth="12660" windowHeight="101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K12" i="1"/>
  <c r="K11" i="1" l="1"/>
  <c r="K10" i="1"/>
  <c r="K8" i="1"/>
  <c r="K9" i="1"/>
  <c r="K7" i="1"/>
  <c r="H23" i="1" l="1"/>
  <c r="G23" i="1" s="1"/>
  <c r="H22" i="1"/>
  <c r="G22" i="1" s="1"/>
  <c r="H21" i="1"/>
  <c r="G21" i="1" s="1"/>
  <c r="F23" i="1"/>
  <c r="I23" i="1" s="1"/>
  <c r="F22" i="1"/>
  <c r="I22" i="1" s="1"/>
  <c r="F21" i="1"/>
  <c r="I21" i="1" s="1"/>
  <c r="J11" i="1"/>
  <c r="J10" i="1"/>
  <c r="J9" i="1"/>
  <c r="J8" i="1"/>
  <c r="J7" i="1"/>
  <c r="H11" i="1"/>
  <c r="H10" i="1"/>
  <c r="H9" i="1"/>
  <c r="H8" i="1"/>
  <c r="H7" i="1"/>
  <c r="G11" i="1"/>
  <c r="G10" i="1"/>
  <c r="G9" i="1"/>
  <c r="G8" i="1"/>
  <c r="G7" i="1"/>
  <c r="F11" i="1"/>
  <c r="I11" i="1" s="1"/>
  <c r="F10" i="1"/>
  <c r="I10" i="1" s="1"/>
  <c r="F9" i="1"/>
  <c r="I9" i="1" s="1"/>
  <c r="F8" i="1"/>
  <c r="I8" i="1" s="1"/>
  <c r="E11" i="1"/>
  <c r="E10" i="1"/>
  <c r="E9" i="1"/>
  <c r="E8" i="1"/>
  <c r="E7" i="1"/>
  <c r="I7" i="1"/>
  <c r="I12" i="1"/>
  <c r="J20" i="1" l="1"/>
  <c r="K20" i="1" s="1"/>
  <c r="J19" i="1"/>
  <c r="K19" i="1" s="1"/>
  <c r="J18" i="1"/>
  <c r="K18" i="1" s="1"/>
  <c r="H19" i="1"/>
  <c r="H20" i="1"/>
  <c r="H18" i="1"/>
  <c r="H17" i="1"/>
  <c r="G20" i="1"/>
  <c r="G19" i="1"/>
  <c r="G18" i="1"/>
  <c r="F20" i="1"/>
  <c r="I20" i="1" s="1"/>
  <c r="F19" i="1"/>
  <c r="I19" i="1" s="1"/>
  <c r="F18" i="1"/>
  <c r="I18" i="1" s="1"/>
  <c r="F17" i="1"/>
  <c r="I17" i="1" s="1"/>
  <c r="E20" i="1"/>
  <c r="E19" i="1"/>
  <c r="E18" i="1"/>
  <c r="H16" i="1"/>
  <c r="H15" i="1"/>
  <c r="H14" i="1"/>
  <c r="G17" i="1"/>
  <c r="G16" i="1"/>
  <c r="G15" i="1"/>
  <c r="G14" i="1"/>
  <c r="E17" i="1"/>
  <c r="E16" i="1"/>
  <c r="E15" i="1"/>
  <c r="E14" i="1"/>
  <c r="J17" i="1"/>
  <c r="K17" i="1" s="1"/>
  <c r="J16" i="1"/>
  <c r="K16" i="1" s="1"/>
  <c r="J15" i="1"/>
  <c r="K15" i="1" s="1"/>
  <c r="J14" i="1"/>
  <c r="K14" i="1" s="1"/>
  <c r="J13" i="1"/>
  <c r="K13" i="1" s="1"/>
  <c r="H13" i="1"/>
  <c r="I15" i="1"/>
  <c r="I13" i="1"/>
  <c r="G13" i="1"/>
  <c r="F14" i="1"/>
  <c r="I14" i="1" s="1"/>
  <c r="F16" i="1"/>
  <c r="I16" i="1" s="1"/>
  <c r="E13" i="1"/>
  <c r="J12" i="1"/>
  <c r="G12" i="1"/>
  <c r="H12" i="1"/>
  <c r="E12" i="1"/>
</calcChain>
</file>

<file path=xl/sharedStrings.xml><?xml version="1.0" encoding="utf-8"?>
<sst xmlns="http://schemas.openxmlformats.org/spreadsheetml/2006/main" count="117" uniqueCount="45">
  <si>
    <t>Study</t>
  </si>
  <si>
    <t>Species</t>
  </si>
  <si>
    <t xml:space="preserve">Trait </t>
  </si>
  <si>
    <t>V_A</t>
  </si>
  <si>
    <t>V_DO</t>
  </si>
  <si>
    <t>V_DI</t>
  </si>
  <si>
    <t>Cov_a_d</t>
  </si>
  <si>
    <t>H</t>
  </si>
  <si>
    <t>Shaw_et_al_1998_GENETICS</t>
  </si>
  <si>
    <t>Nemophila menziesii</t>
  </si>
  <si>
    <t>Height</t>
  </si>
  <si>
    <t>Number of node</t>
  </si>
  <si>
    <t>Petal length</t>
  </si>
  <si>
    <t>Petal width</t>
  </si>
  <si>
    <t>Nb of days to flowering</t>
  </si>
  <si>
    <t>NA</t>
  </si>
  <si>
    <t>Kelly_Arrathi_2003_Heredity</t>
  </si>
  <si>
    <t>Mimulus guttatus</t>
  </si>
  <si>
    <t>Corrola_width</t>
  </si>
  <si>
    <t>Pistil length</t>
  </si>
  <si>
    <t>Herkogamy</t>
  </si>
  <si>
    <t>Flower length</t>
  </si>
  <si>
    <t>days to anthesis</t>
  </si>
  <si>
    <t>Marriage_Kelly_2009_JEB</t>
  </si>
  <si>
    <t>Corrola_length</t>
  </si>
  <si>
    <t>Stigma_length</t>
  </si>
  <si>
    <t>Anther_length</t>
  </si>
  <si>
    <t>days to flower</t>
  </si>
  <si>
    <t>viable pollen</t>
  </si>
  <si>
    <t>male fitness</t>
  </si>
  <si>
    <t>flower number</t>
  </si>
  <si>
    <t>Kelly_2003_Genetics</t>
  </si>
  <si>
    <t>Corola_width</t>
  </si>
  <si>
    <t>Pollen number</t>
  </si>
  <si>
    <t>PSI</t>
  </si>
  <si>
    <t>V_E_OUT</t>
  </si>
  <si>
    <t>V_E_SELF</t>
  </si>
  <si>
    <t>V_P_SELF</t>
  </si>
  <si>
    <t>V_P_OUT</t>
  </si>
  <si>
    <t>unit</t>
  </si>
  <si>
    <t>cm</t>
  </si>
  <si>
    <t>day</t>
  </si>
  <si>
    <t>unit free</t>
  </si>
  <si>
    <t>nb of offsprings</t>
  </si>
  <si>
    <t>nb pollen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</si>
</sst>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topLeftCell="A6" workbookViewId="0">
      <selection activeCell="D24" sqref="D24"/>
    </sheetView>
  </sheetViews>
  <sheetFormatPr baseColWidth="10" defaultRowHeight="14.5" x14ac:dyDescent="0.35"/>
  <sheetData>
    <row r="1" spans="1:16" x14ac:dyDescent="0.35">
      <c r="A1" s="1" t="s">
        <v>0</v>
      </c>
      <c r="B1" s="1" t="s">
        <v>1</v>
      </c>
      <c r="C1" s="1" t="s">
        <v>2</v>
      </c>
      <c r="D1" s="1" t="s">
        <v>39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35</v>
      </c>
      <c r="K1" s="1" t="s">
        <v>36</v>
      </c>
      <c r="L1" s="1" t="s">
        <v>37</v>
      </c>
      <c r="M1" s="1" t="s">
        <v>38</v>
      </c>
      <c r="N1" s="1"/>
      <c r="O1" s="1"/>
      <c r="P1" s="1"/>
    </row>
    <row r="2" spans="1:16" x14ac:dyDescent="0.35">
      <c r="A2" s="1" t="s">
        <v>8</v>
      </c>
      <c r="B2" s="1" t="s">
        <v>9</v>
      </c>
      <c r="C2" s="1" t="s">
        <v>10</v>
      </c>
      <c r="D2" s="1" t="s">
        <v>40</v>
      </c>
      <c r="E2" s="1">
        <v>16.29</v>
      </c>
      <c r="F2" s="1">
        <v>1.83</v>
      </c>
      <c r="G2" s="1">
        <v>1.65</v>
      </c>
      <c r="H2" s="1">
        <v>-2.4500000000000002</v>
      </c>
      <c r="I2" s="1">
        <v>0</v>
      </c>
      <c r="J2" s="1">
        <v>42.32</v>
      </c>
      <c r="K2" s="1">
        <v>42.32</v>
      </c>
      <c r="L2" s="1" t="s">
        <v>15</v>
      </c>
      <c r="M2" s="1" t="s">
        <v>15</v>
      </c>
      <c r="N2" s="1"/>
      <c r="O2" s="1"/>
    </row>
    <row r="3" spans="1:16" x14ac:dyDescent="0.35">
      <c r="A3" s="1" t="s">
        <v>8</v>
      </c>
      <c r="B3" s="1" t="s">
        <v>9</v>
      </c>
      <c r="C3" s="1" t="s">
        <v>11</v>
      </c>
      <c r="D3" s="1" t="s">
        <v>11</v>
      </c>
      <c r="E3" s="1">
        <v>1.86</v>
      </c>
      <c r="F3" s="1">
        <v>1.89</v>
      </c>
      <c r="G3" s="1">
        <v>-7.0000000000000007E-2</v>
      </c>
      <c r="H3" s="1">
        <v>0.05</v>
      </c>
      <c r="I3" s="1">
        <v>0</v>
      </c>
      <c r="J3" s="1">
        <v>3.75</v>
      </c>
      <c r="K3" s="1">
        <v>3.75</v>
      </c>
      <c r="L3" s="1" t="s">
        <v>15</v>
      </c>
      <c r="M3" s="1" t="s">
        <v>15</v>
      </c>
      <c r="N3" s="1"/>
      <c r="O3" s="1"/>
    </row>
    <row r="4" spans="1:16" x14ac:dyDescent="0.35">
      <c r="A4" s="1" t="s">
        <v>8</v>
      </c>
      <c r="B4" s="1" t="s">
        <v>9</v>
      </c>
      <c r="C4" s="1" t="s">
        <v>12</v>
      </c>
      <c r="D4" s="1" t="s">
        <v>40</v>
      </c>
      <c r="E4" s="1">
        <v>0.33</v>
      </c>
      <c r="F4" s="1">
        <v>0.17</v>
      </c>
      <c r="G4" s="1">
        <v>0.51</v>
      </c>
      <c r="H4" s="1">
        <v>0.02</v>
      </c>
      <c r="I4" s="1">
        <v>0</v>
      </c>
      <c r="J4" s="1">
        <v>1.45</v>
      </c>
      <c r="K4" s="1">
        <v>1.45</v>
      </c>
      <c r="L4" s="1" t="s">
        <v>15</v>
      </c>
      <c r="M4" s="1" t="s">
        <v>15</v>
      </c>
      <c r="N4" s="1"/>
      <c r="O4" s="1"/>
    </row>
    <row r="5" spans="1:16" x14ac:dyDescent="0.35">
      <c r="A5" s="1" t="s">
        <v>8</v>
      </c>
      <c r="B5" s="1" t="s">
        <v>9</v>
      </c>
      <c r="C5" s="1" t="s">
        <v>13</v>
      </c>
      <c r="D5" s="1" t="s">
        <v>40</v>
      </c>
      <c r="E5" s="1">
        <v>0.25</v>
      </c>
      <c r="F5" s="1">
        <v>0.14000000000000001</v>
      </c>
      <c r="G5" s="1">
        <v>0.52</v>
      </c>
      <c r="H5" s="1">
        <v>-0.11</v>
      </c>
      <c r="I5" s="1">
        <v>0</v>
      </c>
      <c r="J5" s="1">
        <v>0.75</v>
      </c>
      <c r="K5" s="1">
        <v>0.75</v>
      </c>
      <c r="L5" s="1" t="s">
        <v>15</v>
      </c>
      <c r="M5" s="1" t="s">
        <v>15</v>
      </c>
      <c r="N5" s="1"/>
      <c r="O5" s="1"/>
    </row>
    <row r="6" spans="1:16" x14ac:dyDescent="0.35">
      <c r="A6" s="1" t="s">
        <v>8</v>
      </c>
      <c r="B6" s="1" t="s">
        <v>9</v>
      </c>
      <c r="C6" s="1" t="s">
        <v>14</v>
      </c>
      <c r="D6" s="1" t="s">
        <v>41</v>
      </c>
      <c r="E6" s="1">
        <v>17.25</v>
      </c>
      <c r="F6" s="1">
        <v>8.8000000000000007</v>
      </c>
      <c r="G6" s="1">
        <v>43.1</v>
      </c>
      <c r="H6" s="1">
        <v>-8.23</v>
      </c>
      <c r="I6" s="1">
        <v>0</v>
      </c>
      <c r="J6" s="1">
        <v>29.37</v>
      </c>
      <c r="K6" s="1">
        <v>29.37</v>
      </c>
      <c r="L6" s="1" t="s">
        <v>15</v>
      </c>
      <c r="M6" s="1" t="s">
        <v>15</v>
      </c>
      <c r="N6" s="1"/>
      <c r="O6" s="1"/>
    </row>
    <row r="7" spans="1:16" x14ac:dyDescent="0.35">
      <c r="A7" s="1" t="s">
        <v>16</v>
      </c>
      <c r="B7" s="1" t="s">
        <v>17</v>
      </c>
      <c r="C7" s="1" t="s">
        <v>18</v>
      </c>
      <c r="D7" s="1" t="s">
        <v>40</v>
      </c>
      <c r="E7">
        <f>M7*0.25</f>
        <v>2.4025000000000001E-2</v>
      </c>
      <c r="F7" s="1">
        <v>0</v>
      </c>
      <c r="G7">
        <f>M7*0.38</f>
        <v>3.6518000000000002E-2</v>
      </c>
      <c r="H7">
        <f>M7*(-0.09)</f>
        <v>-8.6490000000000004E-3</v>
      </c>
      <c r="I7">
        <f t="shared" ref="I7:I12" si="0">F7</f>
        <v>0</v>
      </c>
      <c r="J7">
        <f>0.62*M7</f>
        <v>5.9582000000000003E-2</v>
      </c>
      <c r="K7" s="1">
        <f>0.73*M7</f>
        <v>7.0153000000000007E-2</v>
      </c>
      <c r="L7">
        <f>0.36^2</f>
        <v>0.12959999999999999</v>
      </c>
      <c r="M7">
        <f>(0.31^2)</f>
        <v>9.6100000000000005E-2</v>
      </c>
      <c r="N7" s="1"/>
    </row>
    <row r="8" spans="1:16" x14ac:dyDescent="0.35">
      <c r="A8" s="1" t="s">
        <v>16</v>
      </c>
      <c r="B8" s="1" t="s">
        <v>17</v>
      </c>
      <c r="C8" s="1" t="s">
        <v>19</v>
      </c>
      <c r="D8" s="1" t="s">
        <v>40</v>
      </c>
      <c r="E8">
        <f>M8*0.24</f>
        <v>0.42453600000000002</v>
      </c>
      <c r="F8">
        <f>M8*0.06</f>
        <v>0.10613400000000001</v>
      </c>
      <c r="G8">
        <f>M8*0.2</f>
        <v>0.35378000000000004</v>
      </c>
      <c r="H8">
        <f>M8*(0.01)</f>
        <v>1.7689000000000003E-2</v>
      </c>
      <c r="I8">
        <f t="shared" si="0"/>
        <v>0.10613400000000001</v>
      </c>
      <c r="J8">
        <f>0.61*M8</f>
        <v>1.079029</v>
      </c>
      <c r="K8" s="1">
        <f>0.65*M8</f>
        <v>1.1497850000000001</v>
      </c>
      <c r="L8">
        <f>1.61^2</f>
        <v>2.5921000000000003</v>
      </c>
      <c r="M8">
        <f>(1.33^2)</f>
        <v>1.7689000000000001</v>
      </c>
      <c r="N8" s="1"/>
    </row>
    <row r="9" spans="1:16" x14ac:dyDescent="0.35">
      <c r="A9" s="1" t="s">
        <v>16</v>
      </c>
      <c r="B9" s="1" t="s">
        <v>17</v>
      </c>
      <c r="C9" s="1" t="s">
        <v>20</v>
      </c>
      <c r="D9" s="1" t="s">
        <v>40</v>
      </c>
      <c r="E9">
        <f>M9*0.36</f>
        <v>0.32489999999999997</v>
      </c>
      <c r="F9">
        <f>M9*0.07</f>
        <v>6.3175000000000009E-2</v>
      </c>
      <c r="G9">
        <f>M9*0.27</f>
        <v>0.243675</v>
      </c>
      <c r="H9">
        <f>M9*(0.02)</f>
        <v>1.805E-2</v>
      </c>
      <c r="I9">
        <f t="shared" si="0"/>
        <v>6.3175000000000009E-2</v>
      </c>
      <c r="J9">
        <f>0.57*M9</f>
        <v>0.51442499999999991</v>
      </c>
      <c r="K9" s="1">
        <f t="shared" ref="K9" si="1">0.73*M9</f>
        <v>0.65882499999999999</v>
      </c>
      <c r="L9">
        <f>1.15^2</f>
        <v>1.3224999999999998</v>
      </c>
      <c r="M9">
        <f>(0.95^2)</f>
        <v>0.90249999999999997</v>
      </c>
      <c r="N9" s="1"/>
    </row>
    <row r="10" spans="1:16" x14ac:dyDescent="0.35">
      <c r="A10" s="1" t="s">
        <v>16</v>
      </c>
      <c r="B10" s="1" t="s">
        <v>17</v>
      </c>
      <c r="C10" s="1" t="s">
        <v>21</v>
      </c>
      <c r="D10" s="1" t="s">
        <v>40</v>
      </c>
      <c r="E10">
        <f>M10*0.11</f>
        <v>0.75508400000000009</v>
      </c>
      <c r="F10">
        <f>M10*0.01</f>
        <v>6.8644000000000011E-2</v>
      </c>
      <c r="G10">
        <f>M10*0.12</f>
        <v>0.82372800000000002</v>
      </c>
      <c r="H10">
        <f>M10*(0.01)</f>
        <v>6.8644000000000011E-2</v>
      </c>
      <c r="I10">
        <f t="shared" si="0"/>
        <v>6.8644000000000011E-2</v>
      </c>
      <c r="J10">
        <f>0.67*M10</f>
        <v>4.5991480000000005</v>
      </c>
      <c r="K10" s="1">
        <f>0.71*M10</f>
        <v>4.8737240000000002</v>
      </c>
      <c r="L10">
        <f>2.93^2</f>
        <v>8.5849000000000011</v>
      </c>
      <c r="M10">
        <f>(2.62^2)</f>
        <v>6.8644000000000007</v>
      </c>
      <c r="N10" s="1"/>
    </row>
    <row r="11" spans="1:16" x14ac:dyDescent="0.35">
      <c r="A11" s="1" t="s">
        <v>16</v>
      </c>
      <c r="B11" s="1" t="s">
        <v>17</v>
      </c>
      <c r="C11" s="1" t="s">
        <v>22</v>
      </c>
      <c r="D11" s="1" t="s">
        <v>41</v>
      </c>
      <c r="E11">
        <f>M11*0.32</f>
        <v>5.1200000000000009E-2</v>
      </c>
      <c r="F11">
        <f>M11*0.14</f>
        <v>2.2400000000000007E-2</v>
      </c>
      <c r="G11">
        <f>M11*0.21</f>
        <v>3.3600000000000005E-2</v>
      </c>
      <c r="H11">
        <f>M11*(-0.1)</f>
        <v>-1.6000000000000004E-2</v>
      </c>
      <c r="I11">
        <f t="shared" si="0"/>
        <v>2.2400000000000007E-2</v>
      </c>
      <c r="J11">
        <f>0.5*M11</f>
        <v>8.0000000000000016E-2</v>
      </c>
      <c r="K11" s="1">
        <f>0.45*M11</f>
        <v>7.2000000000000022E-2</v>
      </c>
      <c r="L11">
        <f>0.38^2</f>
        <v>0.1444</v>
      </c>
      <c r="M11">
        <f>(0.4^2)</f>
        <v>0.16000000000000003</v>
      </c>
      <c r="N11" s="1"/>
    </row>
    <row r="12" spans="1:16" x14ac:dyDescent="0.35">
      <c r="A12" s="1" t="s">
        <v>23</v>
      </c>
      <c r="B12" s="1" t="s">
        <v>17</v>
      </c>
      <c r="C12" s="1" t="s">
        <v>18</v>
      </c>
      <c r="D12" s="1" t="s">
        <v>40</v>
      </c>
      <c r="E12">
        <f>(3.39^2)*0.237</f>
        <v>2.7236277000000002</v>
      </c>
      <c r="F12">
        <v>0</v>
      </c>
      <c r="G12">
        <f>(3.39^2)*0.268</f>
        <v>3.0798828000000005</v>
      </c>
      <c r="H12">
        <f>(3.39^2)*(-0.06)</f>
        <v>-0.68952599999999997</v>
      </c>
      <c r="I12">
        <f t="shared" si="0"/>
        <v>0</v>
      </c>
      <c r="J12">
        <f>(3.39^2)*0.763</f>
        <v>8.7684723000000009</v>
      </c>
      <c r="K12">
        <f>(3.39^2)*0.763</f>
        <v>8.7684723000000009</v>
      </c>
      <c r="L12">
        <f>3.62^2</f>
        <v>13.1044</v>
      </c>
      <c r="M12">
        <f>(3.39^2)</f>
        <v>11.492100000000001</v>
      </c>
    </row>
    <row r="13" spans="1:16" x14ac:dyDescent="0.35">
      <c r="A13" s="1" t="s">
        <v>23</v>
      </c>
      <c r="B13" s="1" t="s">
        <v>17</v>
      </c>
      <c r="C13" s="1" t="s">
        <v>24</v>
      </c>
      <c r="D13" s="1" t="s">
        <v>40</v>
      </c>
      <c r="E13">
        <f>0.197*M13</f>
        <v>1.4898125</v>
      </c>
      <c r="F13">
        <v>0</v>
      </c>
      <c r="G13">
        <f>0.104*M13</f>
        <v>0.78649999999999998</v>
      </c>
      <c r="H13">
        <f>0.007*M13</f>
        <v>5.2937499999999998E-2</v>
      </c>
      <c r="I13">
        <f>F13</f>
        <v>0</v>
      </c>
      <c r="J13">
        <f>0.803*M13</f>
        <v>6.0726875000000007</v>
      </c>
      <c r="K13">
        <f>J13</f>
        <v>6.0726875000000007</v>
      </c>
      <c r="L13">
        <f>3^2</f>
        <v>9</v>
      </c>
      <c r="M13">
        <f>(2.75^2)</f>
        <v>7.5625</v>
      </c>
    </row>
    <row r="14" spans="1:16" x14ac:dyDescent="0.35">
      <c r="A14" s="1" t="s">
        <v>23</v>
      </c>
      <c r="B14" s="1" t="s">
        <v>17</v>
      </c>
      <c r="C14" s="1" t="s">
        <v>25</v>
      </c>
      <c r="D14" s="1" t="s">
        <v>40</v>
      </c>
      <c r="E14">
        <f>0.379*M14</f>
        <v>0.72176759999999984</v>
      </c>
      <c r="F14">
        <f>0.005*M14</f>
        <v>9.5219999999999992E-3</v>
      </c>
      <c r="G14">
        <f>0.501*M14</f>
        <v>0.95410439999999985</v>
      </c>
      <c r="H14">
        <f>(-0.163)*M14</f>
        <v>-0.31041719999999995</v>
      </c>
      <c r="I14">
        <f t="shared" ref="I14:I23" si="2">F14</f>
        <v>9.5219999999999992E-3</v>
      </c>
      <c r="J14">
        <f>0.616*M14</f>
        <v>1.1731103999999997</v>
      </c>
      <c r="K14">
        <f t="shared" ref="K14:K20" si="3">J14</f>
        <v>1.1731103999999997</v>
      </c>
      <c r="L14">
        <f>1.45^2</f>
        <v>2.1025</v>
      </c>
      <c r="M14">
        <f>(1.38^2)</f>
        <v>1.9043999999999996</v>
      </c>
    </row>
    <row r="15" spans="1:16" x14ac:dyDescent="0.35">
      <c r="A15" s="1" t="s">
        <v>23</v>
      </c>
      <c r="B15" s="1" t="s">
        <v>17</v>
      </c>
      <c r="C15" s="1" t="s">
        <v>26</v>
      </c>
      <c r="D15" s="1" t="s">
        <v>40</v>
      </c>
      <c r="E15">
        <f>0.17*M15</f>
        <v>0.35742500000000005</v>
      </c>
      <c r="F15">
        <v>0</v>
      </c>
      <c r="G15">
        <f>0.601*M15</f>
        <v>1.2636025</v>
      </c>
      <c r="H15">
        <f>(-0.096)*M15</f>
        <v>-0.20184000000000002</v>
      </c>
      <c r="I15">
        <f t="shared" si="2"/>
        <v>0</v>
      </c>
      <c r="J15">
        <f>0.83*M15</f>
        <v>1.7450749999999999</v>
      </c>
      <c r="K15">
        <f t="shared" si="3"/>
        <v>1.7450749999999999</v>
      </c>
      <c r="L15">
        <f>1.6^2</f>
        <v>2.5600000000000005</v>
      </c>
      <c r="M15">
        <f>(1.45^2)</f>
        <v>2.1025</v>
      </c>
    </row>
    <row r="16" spans="1:16" x14ac:dyDescent="0.35">
      <c r="A16" s="1" t="s">
        <v>23</v>
      </c>
      <c r="B16" s="1" t="s">
        <v>17</v>
      </c>
      <c r="C16" s="1" t="s">
        <v>20</v>
      </c>
      <c r="D16" s="1" t="s">
        <v>40</v>
      </c>
      <c r="E16">
        <f>0.218*M16</f>
        <v>0.44578819999999991</v>
      </c>
      <c r="F16">
        <f>0.04*M16</f>
        <v>8.1795999999999994E-2</v>
      </c>
      <c r="G16">
        <f>0.16*M16</f>
        <v>0.32718399999999997</v>
      </c>
      <c r="H16">
        <f>(-0.006)*M16</f>
        <v>-1.2269399999999998E-2</v>
      </c>
      <c r="I16">
        <f t="shared" si="2"/>
        <v>8.1795999999999994E-2</v>
      </c>
      <c r="J16">
        <f>0.782*M16</f>
        <v>1.5991117999999998</v>
      </c>
      <c r="K16">
        <f t="shared" si="3"/>
        <v>1.5991117999999998</v>
      </c>
      <c r="L16">
        <f>1.54^2</f>
        <v>2.3715999999999999</v>
      </c>
      <c r="M16">
        <f>(1.43^2)</f>
        <v>2.0448999999999997</v>
      </c>
    </row>
    <row r="17" spans="1:13" x14ac:dyDescent="0.35">
      <c r="A17" s="1" t="s">
        <v>23</v>
      </c>
      <c r="B17" s="1" t="s">
        <v>17</v>
      </c>
      <c r="C17" s="1" t="s">
        <v>27</v>
      </c>
      <c r="D17" s="1" t="s">
        <v>41</v>
      </c>
      <c r="E17">
        <f>0.207*M17</f>
        <v>3.5307782999999997</v>
      </c>
      <c r="F17">
        <f>0*M17</f>
        <v>0</v>
      </c>
      <c r="G17">
        <f>0.053*M17</f>
        <v>0.90401569999999987</v>
      </c>
      <c r="H17">
        <f>(-0.074)*M17</f>
        <v>-1.2622106</v>
      </c>
      <c r="I17">
        <f t="shared" si="2"/>
        <v>0</v>
      </c>
      <c r="J17">
        <f>0.753*M17</f>
        <v>12.843845699999999</v>
      </c>
      <c r="K17">
        <f t="shared" si="3"/>
        <v>12.843845699999999</v>
      </c>
      <c r="L17">
        <f>3.74^2</f>
        <v>13.987600000000002</v>
      </c>
      <c r="M17">
        <f>(4.13^2)</f>
        <v>17.056899999999999</v>
      </c>
    </row>
    <row r="18" spans="1:13" x14ac:dyDescent="0.35">
      <c r="A18" s="1" t="s">
        <v>23</v>
      </c>
      <c r="B18" s="1" t="s">
        <v>17</v>
      </c>
      <c r="C18" s="1" t="s">
        <v>28</v>
      </c>
      <c r="D18" s="1" t="s">
        <v>42</v>
      </c>
      <c r="E18">
        <f>0.042*M18</f>
        <v>8.5050000000000004E-3</v>
      </c>
      <c r="F18">
        <f>0.051*M18</f>
        <v>1.03275E-2</v>
      </c>
      <c r="G18">
        <f>0*M18</f>
        <v>0</v>
      </c>
      <c r="H18">
        <f>(0.001)*M18</f>
        <v>2.0250000000000002E-4</v>
      </c>
      <c r="I18">
        <f t="shared" si="2"/>
        <v>1.03275E-2</v>
      </c>
      <c r="J18">
        <f>0.906*M18</f>
        <v>0.18346500000000002</v>
      </c>
      <c r="K18">
        <f t="shared" si="3"/>
        <v>0.18346500000000002</v>
      </c>
      <c r="L18">
        <f>0.43^2</f>
        <v>0.18489999999999998</v>
      </c>
      <c r="M18">
        <f>(0.45^2)</f>
        <v>0.20250000000000001</v>
      </c>
    </row>
    <row r="19" spans="1:13" x14ac:dyDescent="0.35">
      <c r="A19" s="1" t="s">
        <v>23</v>
      </c>
      <c r="B19" s="1" t="s">
        <v>17</v>
      </c>
      <c r="C19" s="1" t="s">
        <v>29</v>
      </c>
      <c r="D19" s="1" t="s">
        <v>43</v>
      </c>
      <c r="E19">
        <f>0.011*M19</f>
        <v>1.5884E-3</v>
      </c>
      <c r="F19">
        <f>0.118*M19</f>
        <v>1.7039200000000001E-2</v>
      </c>
      <c r="G19">
        <f>0.091*M19</f>
        <v>1.31404E-2</v>
      </c>
      <c r="H19">
        <f>(0.022)*M19</f>
        <v>3.1768E-3</v>
      </c>
      <c r="I19">
        <f t="shared" si="2"/>
        <v>1.7039200000000001E-2</v>
      </c>
      <c r="J19">
        <f>0.872*M19</f>
        <v>0.1259168</v>
      </c>
      <c r="K19">
        <f t="shared" si="3"/>
        <v>0.1259168</v>
      </c>
      <c r="L19">
        <f>0.42^2</f>
        <v>0.17639999999999997</v>
      </c>
      <c r="M19">
        <f>(0.38^2)</f>
        <v>0.1444</v>
      </c>
    </row>
    <row r="20" spans="1:13" x14ac:dyDescent="0.35">
      <c r="A20" s="1" t="s">
        <v>23</v>
      </c>
      <c r="B20" s="1" t="s">
        <v>17</v>
      </c>
      <c r="C20" s="1" t="s">
        <v>30</v>
      </c>
      <c r="D20" s="1" t="s">
        <v>40</v>
      </c>
      <c r="E20">
        <f>0.033*M20</f>
        <v>6.5607299999999993E-2</v>
      </c>
      <c r="F20">
        <f>0.129*M20</f>
        <v>0.2564649</v>
      </c>
      <c r="G20">
        <f>0.006*M20</f>
        <v>1.1928599999999999E-2</v>
      </c>
      <c r="H20">
        <f>(0.01)*M20</f>
        <v>1.9880999999999999E-2</v>
      </c>
      <c r="I20">
        <f t="shared" si="2"/>
        <v>0.2564649</v>
      </c>
      <c r="J20">
        <f>0.838*M20</f>
        <v>1.6660277999999997</v>
      </c>
      <c r="K20">
        <f t="shared" si="3"/>
        <v>1.6660277999999997</v>
      </c>
      <c r="L20">
        <f>1.41^2</f>
        <v>1.9880999999999998</v>
      </c>
      <c r="M20">
        <f>(1.41^2)</f>
        <v>1.9880999999999998</v>
      </c>
    </row>
    <row r="21" spans="1:13" x14ac:dyDescent="0.35">
      <c r="A21" s="1" t="s">
        <v>31</v>
      </c>
      <c r="B21" s="1" t="s">
        <v>17</v>
      </c>
      <c r="C21" s="1" t="s">
        <v>32</v>
      </c>
      <c r="D21" s="1" t="s">
        <v>40</v>
      </c>
      <c r="E21">
        <v>4.7999999999999996E-3</v>
      </c>
      <c r="F21">
        <f>0.0048 -E21</f>
        <v>0</v>
      </c>
      <c r="G21">
        <f>0.0088-(2*E21)-(4*H21)</f>
        <v>6.3999999999999994E-3</v>
      </c>
      <c r="H21">
        <f>0.003-E21</f>
        <v>-1.7999999999999995E-3</v>
      </c>
      <c r="I21">
        <f t="shared" si="2"/>
        <v>0</v>
      </c>
      <c r="J21">
        <v>1.1900000000000001E-2</v>
      </c>
      <c r="K21">
        <v>1.26E-2</v>
      </c>
      <c r="L21" t="s">
        <v>15</v>
      </c>
      <c r="M21" t="s">
        <v>15</v>
      </c>
    </row>
    <row r="22" spans="1:13" x14ac:dyDescent="0.35">
      <c r="A22" s="1" t="s">
        <v>31</v>
      </c>
      <c r="B22" s="1" t="s">
        <v>17</v>
      </c>
      <c r="C22" s="1" t="s">
        <v>33</v>
      </c>
      <c r="D22" s="1" t="s">
        <v>44</v>
      </c>
      <c r="E22">
        <v>1.52E-2</v>
      </c>
      <c r="F22">
        <f>0.0245 -E22</f>
        <v>9.300000000000001E-3</v>
      </c>
      <c r="G22">
        <f>0.0424-(2*E22)-(4*H22)</f>
        <v>3.3199999999999993E-2</v>
      </c>
      <c r="H22">
        <f>0.0099-E22</f>
        <v>-5.2999999999999992E-3</v>
      </c>
      <c r="I22">
        <f t="shared" si="2"/>
        <v>9.300000000000001E-3</v>
      </c>
      <c r="J22">
        <v>0.13300000000000001</v>
      </c>
      <c r="K22">
        <v>0.106</v>
      </c>
      <c r="L22" t="s">
        <v>15</v>
      </c>
      <c r="M22" t="s">
        <v>15</v>
      </c>
    </row>
    <row r="23" spans="1:13" x14ac:dyDescent="0.35">
      <c r="A23" s="1" t="s">
        <v>31</v>
      </c>
      <c r="B23" s="1" t="s">
        <v>17</v>
      </c>
      <c r="C23" s="1" t="s">
        <v>34</v>
      </c>
      <c r="D23" s="1" t="s">
        <v>42</v>
      </c>
      <c r="E23">
        <v>8.8000000000000005E-3</v>
      </c>
      <c r="F23">
        <f>0.0088 -E23</f>
        <v>0</v>
      </c>
      <c r="G23">
        <f>0.036-(2*E23)-(4*H23)</f>
        <v>3.3599999999999998E-2</v>
      </c>
      <c r="H23">
        <f>0.005-E23</f>
        <v>-3.8000000000000004E-3</v>
      </c>
      <c r="I23">
        <f t="shared" si="2"/>
        <v>0</v>
      </c>
      <c r="J23">
        <v>4.9000000000000002E-2</v>
      </c>
      <c r="K23">
        <v>6.3E-2</v>
      </c>
      <c r="L23" t="s">
        <v>15</v>
      </c>
      <c r="M23" t="s">
        <v>15</v>
      </c>
    </row>
    <row r="24" spans="1:13" x14ac:dyDescent="0.35">
      <c r="A24" s="1"/>
      <c r="B24" s="1"/>
      <c r="C24" s="1"/>
      <c r="D24" s="1"/>
      <c r="E24" s="1"/>
    </row>
    <row r="25" spans="1:13" x14ac:dyDescent="0.35">
      <c r="A25" s="1"/>
      <c r="B25" s="1"/>
      <c r="C25" s="1"/>
      <c r="D25" s="1"/>
      <c r="E25" s="1"/>
    </row>
    <row r="26" spans="1:13" x14ac:dyDescent="0.35">
      <c r="A26" s="1"/>
      <c r="B26" s="1"/>
      <c r="C26" s="1"/>
      <c r="D26" s="1"/>
    </row>
    <row r="27" spans="1:13" x14ac:dyDescent="0.35">
      <c r="A27" s="1"/>
      <c r="B27" s="1"/>
      <c r="C27" s="1"/>
      <c r="D27" s="1"/>
    </row>
    <row r="28" spans="1:13" x14ac:dyDescent="0.35">
      <c r="A28" s="1"/>
      <c r="B28" s="1"/>
      <c r="C28" s="1"/>
      <c r="D28" s="1"/>
    </row>
    <row r="29" spans="1:13" x14ac:dyDescent="0.35">
      <c r="A29" s="1"/>
      <c r="B29" s="1"/>
      <c r="C29" s="1"/>
      <c r="D29" s="1"/>
    </row>
    <row r="30" spans="1:13" x14ac:dyDescent="0.35">
      <c r="A30" s="1"/>
      <c r="B30" s="1"/>
      <c r="C30" s="1"/>
      <c r="D3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Josselin CLO</dc:creator>
  <cp:lastModifiedBy>Josselin Clo</cp:lastModifiedBy>
  <dcterms:created xsi:type="dcterms:W3CDTF">2020-03-31T13:51:41Z</dcterms:created>
  <dcterms:modified xsi:type="dcterms:W3CDTF">2021-06-20T04:13:07Z</dcterms:modified>
</cp:coreProperties>
</file>