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460" yWindow="0" windowWidth="25600" windowHeight="17560" tabRatio="500" activeTab="6"/>
  </bookViews>
  <sheets>
    <sheet name="Cadmium" sheetId="1" r:id="rId1"/>
    <sheet name="Manganese" sheetId="2" r:id="rId2"/>
    <sheet name="Paraquat" sheetId="3" r:id="rId3"/>
    <sheet name="Maneb" sheetId="4" r:id="rId4"/>
    <sheet name="Rotenone" sheetId="5" r:id="rId5"/>
    <sheet name="6-OHDA" sheetId="6" r:id="rId6"/>
    <sheet name="AflatoxinB1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7" l="1"/>
  <c r="F43" i="7"/>
  <c r="F44" i="7"/>
  <c r="F45" i="7"/>
  <c r="G42" i="7"/>
  <c r="F46" i="7"/>
  <c r="F47" i="7"/>
  <c r="F48" i="7"/>
  <c r="G46" i="7"/>
  <c r="F50" i="7"/>
  <c r="F51" i="7"/>
  <c r="F52" i="7"/>
  <c r="F53" i="7"/>
  <c r="G50" i="7"/>
  <c r="J42" i="7"/>
  <c r="I42" i="7"/>
  <c r="F29" i="7"/>
  <c r="F30" i="7"/>
  <c r="F33" i="7"/>
  <c r="F34" i="7"/>
  <c r="F35" i="7"/>
  <c r="F36" i="7"/>
  <c r="F37" i="7"/>
  <c r="F38" i="7"/>
  <c r="F39" i="7"/>
  <c r="F40" i="7"/>
  <c r="I29" i="7"/>
  <c r="F16" i="7"/>
  <c r="F17" i="7"/>
  <c r="F18" i="7"/>
  <c r="F19" i="7"/>
  <c r="F20" i="7"/>
  <c r="F21" i="7"/>
  <c r="F22" i="7"/>
  <c r="F23" i="7"/>
  <c r="F24" i="7"/>
  <c r="F25" i="7"/>
  <c r="F26" i="7"/>
  <c r="F27" i="7"/>
  <c r="I16" i="7"/>
  <c r="F3" i="7"/>
  <c r="F4" i="7"/>
  <c r="F5" i="7"/>
  <c r="F6" i="7"/>
  <c r="F8" i="7"/>
  <c r="F10" i="7"/>
  <c r="F11" i="7"/>
  <c r="F12" i="7"/>
  <c r="F13" i="7"/>
  <c r="F14" i="7"/>
  <c r="I3" i="7"/>
  <c r="G3" i="7"/>
  <c r="H3" i="7"/>
  <c r="G7" i="7"/>
  <c r="H7" i="7"/>
  <c r="G11" i="7"/>
  <c r="H11" i="7"/>
  <c r="G16" i="7"/>
  <c r="H16" i="7"/>
  <c r="G20" i="7"/>
  <c r="H20" i="7"/>
  <c r="G24" i="7"/>
  <c r="H24" i="7"/>
  <c r="G29" i="7"/>
  <c r="H29" i="7"/>
  <c r="G33" i="7"/>
  <c r="H33" i="7"/>
  <c r="G37" i="7"/>
  <c r="H37" i="7"/>
  <c r="H42" i="7"/>
  <c r="H46" i="7"/>
  <c r="H50" i="7"/>
  <c r="J29" i="7"/>
  <c r="J16" i="7"/>
  <c r="N6" i="7"/>
  <c r="M6" i="7"/>
  <c r="N5" i="7"/>
  <c r="M5" i="7"/>
  <c r="N4" i="7"/>
  <c r="M4" i="7"/>
  <c r="N3" i="7"/>
  <c r="M3" i="7"/>
  <c r="J3" i="7"/>
  <c r="K4" i="6"/>
  <c r="E30" i="6"/>
  <c r="E29" i="6"/>
  <c r="E28" i="6"/>
  <c r="E26" i="6"/>
  <c r="E27" i="6"/>
  <c r="G28" i="6"/>
  <c r="F28" i="6"/>
  <c r="E25" i="6"/>
  <c r="E23" i="6"/>
  <c r="E24" i="6"/>
  <c r="G25" i="6"/>
  <c r="F25" i="6"/>
  <c r="L22" i="6"/>
  <c r="K22" i="6"/>
  <c r="E22" i="6"/>
  <c r="E20" i="6"/>
  <c r="E21" i="6"/>
  <c r="G22" i="6"/>
  <c r="F22" i="6"/>
  <c r="E19" i="6"/>
  <c r="G19" i="6"/>
  <c r="F19" i="6"/>
  <c r="L16" i="6"/>
  <c r="K16" i="6"/>
  <c r="L10" i="6"/>
  <c r="K10" i="6"/>
  <c r="Q6" i="6"/>
  <c r="P6" i="6"/>
  <c r="Q5" i="6"/>
  <c r="P5" i="6"/>
  <c r="Q4" i="6"/>
  <c r="P4" i="6"/>
  <c r="L4" i="6"/>
  <c r="Q3" i="6"/>
  <c r="P3" i="6"/>
  <c r="J58" i="5"/>
  <c r="I58" i="5"/>
  <c r="J47" i="5"/>
  <c r="I47" i="5"/>
  <c r="J35" i="5"/>
  <c r="I35" i="5"/>
  <c r="H28" i="5"/>
  <c r="H25" i="5"/>
  <c r="H26" i="5"/>
  <c r="H27" i="5"/>
  <c r="J27" i="5"/>
  <c r="I27" i="5"/>
  <c r="H24" i="5"/>
  <c r="H23" i="5"/>
  <c r="H22" i="5"/>
  <c r="H21" i="5"/>
  <c r="H20" i="5"/>
  <c r="H19" i="5"/>
  <c r="H18" i="5"/>
  <c r="H17" i="5"/>
  <c r="H16" i="5"/>
  <c r="H15" i="5"/>
  <c r="H14" i="5"/>
  <c r="H13" i="5"/>
  <c r="H3" i="5"/>
  <c r="H4" i="5"/>
  <c r="H5" i="5"/>
  <c r="H6" i="5"/>
  <c r="H8" i="5"/>
  <c r="H9" i="5"/>
  <c r="H10" i="5"/>
  <c r="H11" i="5"/>
  <c r="H12" i="5"/>
  <c r="J12" i="5"/>
  <c r="I12" i="5"/>
  <c r="M8" i="5"/>
  <c r="L8" i="5"/>
  <c r="M7" i="5"/>
  <c r="L7" i="5"/>
  <c r="M6" i="5"/>
  <c r="L6" i="5"/>
  <c r="M5" i="5"/>
  <c r="L5" i="5"/>
  <c r="M4" i="5"/>
  <c r="L4" i="5"/>
  <c r="J58" i="4"/>
  <c r="I58" i="4"/>
  <c r="J47" i="4"/>
  <c r="I47" i="4"/>
  <c r="J35" i="4"/>
  <c r="I35" i="4"/>
  <c r="H28" i="4"/>
  <c r="H25" i="4"/>
  <c r="H26" i="4"/>
  <c r="H27" i="4"/>
  <c r="J27" i="4"/>
  <c r="I27" i="4"/>
  <c r="H24" i="4"/>
  <c r="H23" i="4"/>
  <c r="H22" i="4"/>
  <c r="H21" i="4"/>
  <c r="H20" i="4"/>
  <c r="H19" i="4"/>
  <c r="H18" i="4"/>
  <c r="H17" i="4"/>
  <c r="H16" i="4"/>
  <c r="H15" i="4"/>
  <c r="H14" i="4"/>
  <c r="H13" i="4"/>
  <c r="H3" i="4"/>
  <c r="H4" i="4"/>
  <c r="H5" i="4"/>
  <c r="H6" i="4"/>
  <c r="H8" i="4"/>
  <c r="H9" i="4"/>
  <c r="H10" i="4"/>
  <c r="H11" i="4"/>
  <c r="H12" i="4"/>
  <c r="J12" i="4"/>
  <c r="I12" i="4"/>
  <c r="N7" i="4"/>
  <c r="M7" i="4"/>
  <c r="N6" i="4"/>
  <c r="M6" i="4"/>
  <c r="N5" i="4"/>
  <c r="M5" i="4"/>
  <c r="N4" i="4"/>
  <c r="M4" i="4"/>
  <c r="N3" i="4"/>
  <c r="M3" i="4"/>
  <c r="J52" i="3"/>
  <c r="I52" i="3"/>
  <c r="J42" i="3"/>
  <c r="I42" i="3"/>
  <c r="J30" i="3"/>
  <c r="I30" i="3"/>
  <c r="H24" i="3"/>
  <c r="H23" i="3"/>
  <c r="H22" i="3"/>
  <c r="H21" i="3"/>
  <c r="H20" i="3"/>
  <c r="H19" i="3"/>
  <c r="H18" i="3"/>
  <c r="H17" i="3"/>
  <c r="H16" i="3"/>
  <c r="H15" i="3"/>
  <c r="H14" i="3"/>
  <c r="H13" i="3"/>
  <c r="H3" i="3"/>
  <c r="H4" i="3"/>
  <c r="H5" i="3"/>
  <c r="H6" i="3"/>
  <c r="H8" i="3"/>
  <c r="H9" i="3"/>
  <c r="H10" i="3"/>
  <c r="H11" i="3"/>
  <c r="H12" i="3"/>
  <c r="J12" i="3"/>
  <c r="I12" i="3"/>
  <c r="M8" i="3"/>
  <c r="L8" i="3"/>
  <c r="M7" i="3"/>
  <c r="L7" i="3"/>
  <c r="M6" i="3"/>
  <c r="L6" i="3"/>
  <c r="M5" i="3"/>
  <c r="L5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J12" i="2"/>
  <c r="J38" i="2"/>
  <c r="I38" i="2"/>
  <c r="J31" i="2"/>
  <c r="I31" i="2"/>
  <c r="J21" i="2"/>
  <c r="I21" i="2"/>
  <c r="I12" i="2"/>
  <c r="M7" i="2"/>
  <c r="L7" i="2"/>
  <c r="M6" i="2"/>
  <c r="L6" i="2"/>
  <c r="M5" i="2"/>
  <c r="L5" i="2"/>
  <c r="M4" i="2"/>
  <c r="L4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J12" i="1"/>
  <c r="I12" i="1"/>
  <c r="H42" i="1"/>
  <c r="H41" i="1"/>
  <c r="H40" i="1"/>
  <c r="H39" i="1"/>
  <c r="H38" i="1"/>
  <c r="H37" i="1"/>
  <c r="H36" i="1"/>
  <c r="H35" i="1"/>
  <c r="J35" i="1"/>
  <c r="I35" i="1"/>
  <c r="H34" i="1"/>
  <c r="H33" i="1"/>
  <c r="H32" i="1"/>
  <c r="H27" i="1"/>
  <c r="H28" i="1"/>
  <c r="H29" i="1"/>
  <c r="H30" i="1"/>
  <c r="H31" i="1"/>
  <c r="J31" i="1"/>
  <c r="I31" i="1"/>
  <c r="H26" i="1"/>
  <c r="H25" i="1"/>
  <c r="H24" i="1"/>
  <c r="H19" i="1"/>
  <c r="H20" i="1"/>
  <c r="H21" i="1"/>
  <c r="H22" i="1"/>
  <c r="H23" i="1"/>
  <c r="J23" i="1"/>
  <c r="I23" i="1"/>
  <c r="M7" i="1"/>
  <c r="L7" i="1"/>
  <c r="M6" i="1"/>
  <c r="L6" i="1"/>
  <c r="M5" i="1"/>
  <c r="L5" i="1"/>
  <c r="M4" i="1"/>
  <c r="L4" i="1"/>
</calcChain>
</file>

<file path=xl/sharedStrings.xml><?xml version="1.0" encoding="utf-8"?>
<sst xmlns="http://schemas.openxmlformats.org/spreadsheetml/2006/main" count="744" uniqueCount="44">
  <si>
    <t>mito</t>
  </si>
  <si>
    <t>group</t>
  </si>
  <si>
    <t>nuc</t>
  </si>
  <si>
    <t>mito/</t>
  </si>
  <si>
    <t>group ave</t>
  </si>
  <si>
    <t>Rx</t>
  </si>
  <si>
    <t>amt</t>
  </si>
  <si>
    <t>M</t>
  </si>
  <si>
    <t>exp</t>
  </si>
  <si>
    <t>#</t>
  </si>
  <si>
    <t>copy#/worm</t>
  </si>
  <si>
    <t>std error</t>
  </si>
  <si>
    <t>AVG</t>
  </si>
  <si>
    <t>SEM</t>
  </si>
  <si>
    <t>control</t>
  </si>
  <si>
    <t>7/13  #1</t>
  </si>
  <si>
    <t>7/13  #2</t>
  </si>
  <si>
    <t>cadmium</t>
  </si>
  <si>
    <t>mM</t>
  </si>
  <si>
    <t>mangenese</t>
  </si>
  <si>
    <t>paraquat</t>
  </si>
  <si>
    <t xml:space="preserve"> </t>
  </si>
  <si>
    <t>DMSO</t>
  </si>
  <si>
    <t>maneb</t>
  </si>
  <si>
    <t>uM</t>
  </si>
  <si>
    <t>rotenone</t>
  </si>
  <si>
    <t>Rep1</t>
  </si>
  <si>
    <t>mt</t>
  </si>
  <si>
    <t>mt/</t>
  </si>
  <si>
    <t xml:space="preserve">group </t>
  </si>
  <si>
    <t>Both</t>
  </si>
  <si>
    <t>average</t>
  </si>
  <si>
    <t>Rep2</t>
  </si>
  <si>
    <t>Mito</t>
  </si>
  <si>
    <t>Nuc</t>
  </si>
  <si>
    <t>Mito/</t>
  </si>
  <si>
    <t xml:space="preserve">ALL </t>
  </si>
  <si>
    <t xml:space="preserve">ALL GROUP </t>
  </si>
  <si>
    <t>group std err</t>
  </si>
  <si>
    <t>GROUP AVE</t>
  </si>
  <si>
    <t>STD ERR</t>
  </si>
  <si>
    <t>AFB 3uM</t>
  </si>
  <si>
    <t>AFB 30 uM</t>
  </si>
  <si>
    <t>AFB 100uM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</si>
</sst>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scheme val="minor"/>
    </font>
    <font>
      <sz val="11"/>
      <color theme="1"/>
      <name val="Tahoma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9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  <xf numFmtId="16" fontId="0" fillId="0" borderId="0" xfId="0" applyNumberFormat="1"/>
    <xf numFmtId="1" fontId="4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" fontId="6" fillId="0" borderId="0" xfId="0" applyNumberFormat="1" applyFont="1"/>
    <xf numFmtId="0" fontId="3" fillId="0" borderId="0" xfId="0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1" fontId="9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66" fontId="0" fillId="0" borderId="0" xfId="0" applyNumberFormat="1"/>
    <xf numFmtId="2" fontId="1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164" fontId="0" fillId="0" borderId="0" xfId="0" applyNumberFormat="1" applyFont="1" applyFill="1"/>
    <xf numFmtId="0" fontId="12" fillId="0" borderId="0" xfId="0" applyFont="1"/>
    <xf numFmtId="2" fontId="8" fillId="0" borderId="0" xfId="0" applyNumberFormat="1" applyFont="1"/>
    <xf numFmtId="0" fontId="3" fillId="0" borderId="0" xfId="0" applyFont="1"/>
    <xf numFmtId="1" fontId="6" fillId="0" borderId="0" xfId="0" applyNumberFormat="1" applyFont="1" applyFill="1"/>
    <xf numFmtId="0" fontId="0" fillId="0" borderId="0" xfId="0" applyFont="1"/>
    <xf numFmtId="1" fontId="13" fillId="0" borderId="0" xfId="0" applyNumberFormat="1" applyFont="1"/>
    <xf numFmtId="164" fontId="3" fillId="0" borderId="0" xfId="0" applyNumberFormat="1" applyFont="1" applyFill="1"/>
    <xf numFmtId="0" fontId="0" fillId="0" borderId="0" xfId="0" applyFont="1" applyFill="1"/>
    <xf numFmtId="1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4.xml"/><Relationship Id="rId12" Type="http://schemas.openxmlformats.org/officeDocument/2006/relationships/externalLink" Target="externalLinks/externalLink5.xml"/><Relationship Id="rId13" Type="http://schemas.openxmlformats.org/officeDocument/2006/relationships/externalLink" Target="externalLinks/externalLink6.xml"/><Relationship Id="rId14" Type="http://schemas.openxmlformats.org/officeDocument/2006/relationships/externalLink" Target="externalLinks/externalLink7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CdCl</a:t>
            </a:r>
            <a:r>
              <a:rPr lang="en-US" sz="1000" baseline="-25000"/>
              <a:t>2</a:t>
            </a:r>
          </a:p>
        </c:rich>
      </c:tx>
      <c:layout>
        <c:manualLayout>
          <c:xMode val="edge"/>
          <c:yMode val="edge"/>
          <c:x val="0.862455362093823"/>
          <c:y val="0.029814736572562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Cadmium!$M$4:$M$7</c:f>
                <c:numCache>
                  <c:formatCode>General</c:formatCode>
                  <c:ptCount val="4"/>
                  <c:pt idx="0">
                    <c:v>0.0111551560246203</c:v>
                  </c:pt>
                  <c:pt idx="1">
                    <c:v>0.0358431594656696</c:v>
                  </c:pt>
                  <c:pt idx="2">
                    <c:v>0.0142657616522137</c:v>
                  </c:pt>
                  <c:pt idx="3">
                    <c:v>0.0195221221595189</c:v>
                  </c:pt>
                </c:numCache>
              </c:numRef>
            </c:plus>
            <c:minus>
              <c:numRef>
                <c:f>Cadmium!$M$4:$M$7</c:f>
                <c:numCache>
                  <c:formatCode>General</c:formatCode>
                  <c:ptCount val="4"/>
                  <c:pt idx="0">
                    <c:v>0.0111551560246203</c:v>
                  </c:pt>
                  <c:pt idx="1">
                    <c:v>0.0358431594656696</c:v>
                  </c:pt>
                  <c:pt idx="2">
                    <c:v>0.0142657616522137</c:v>
                  </c:pt>
                  <c:pt idx="3">
                    <c:v>0.0195221221595189</c:v>
                  </c:pt>
                </c:numCache>
              </c:numRef>
            </c:minus>
          </c:errBars>
          <c:cat>
            <c:numRef>
              <c:f>Cadmium!$K$4:$K$7</c:f>
              <c:numCache>
                <c:formatCode>General</c:formatCode>
                <c:ptCount val="4"/>
                <c:pt idx="0">
                  <c:v>0.0</c:v>
                </c:pt>
                <c:pt idx="1">
                  <c:v>0.03</c:v>
                </c:pt>
                <c:pt idx="2">
                  <c:v>0.3</c:v>
                </c:pt>
                <c:pt idx="3">
                  <c:v>1.0</c:v>
                </c:pt>
              </c:numCache>
            </c:numRef>
          </c:cat>
          <c:val>
            <c:numRef>
              <c:f>Cadmium!$L$4:$L$7</c:f>
              <c:numCache>
                <c:formatCode>General</c:formatCode>
                <c:ptCount val="4"/>
                <c:pt idx="0">
                  <c:v>1.0</c:v>
                </c:pt>
                <c:pt idx="1">
                  <c:v>1.027282618361271</c:v>
                </c:pt>
                <c:pt idx="2">
                  <c:v>0.911090100617098</c:v>
                </c:pt>
                <c:pt idx="3">
                  <c:v>0.827739293305289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09835528"/>
        <c:axId val="2120967240"/>
      </c:barChart>
      <c:catAx>
        <c:axId val="210983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967240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0967240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09835528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MnCl</a:t>
            </a:r>
            <a:r>
              <a:rPr lang="en-US" sz="1000" baseline="-25000"/>
              <a:t>2</a:t>
            </a:r>
          </a:p>
        </c:rich>
      </c:tx>
      <c:layout>
        <c:manualLayout>
          <c:xMode val="edge"/>
          <c:yMode val="edge"/>
          <c:x val="0.862455362093823"/>
          <c:y val="0.029814736572562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Manganese!$M$4:$M$7</c:f>
                <c:numCache>
                  <c:formatCode>General</c:formatCode>
                  <c:ptCount val="4"/>
                  <c:pt idx="0">
                    <c:v>0.0111551560246203</c:v>
                  </c:pt>
                  <c:pt idx="1">
                    <c:v>0.0262934957679629</c:v>
                  </c:pt>
                  <c:pt idx="2">
                    <c:v>0.0121396032657152</c:v>
                  </c:pt>
                  <c:pt idx="3">
                    <c:v>0.0141349977166332</c:v>
                  </c:pt>
                </c:numCache>
              </c:numRef>
            </c:plus>
            <c:minus>
              <c:numRef>
                <c:f>Manganese!$M$4:$M$7</c:f>
                <c:numCache>
                  <c:formatCode>General</c:formatCode>
                  <c:ptCount val="4"/>
                  <c:pt idx="0">
                    <c:v>0.0111551560246203</c:v>
                  </c:pt>
                  <c:pt idx="1">
                    <c:v>0.0262934957679629</c:v>
                  </c:pt>
                  <c:pt idx="2">
                    <c:v>0.0121396032657152</c:v>
                  </c:pt>
                  <c:pt idx="3">
                    <c:v>0.0141349977166332</c:v>
                  </c:pt>
                </c:numCache>
              </c:numRef>
            </c:minus>
          </c:errBars>
          <c:cat>
            <c:numRef>
              <c:f>Manganese!$K$4:$K$7</c:f>
              <c:numCache>
                <c:formatCode>General</c:formatCode>
                <c:ptCount val="4"/>
                <c:pt idx="0">
                  <c:v>0.0</c:v>
                </c:pt>
                <c:pt idx="1">
                  <c:v>0.75</c:v>
                </c:pt>
                <c:pt idx="2">
                  <c:v>7.5</c:v>
                </c:pt>
                <c:pt idx="3">
                  <c:v>25.0</c:v>
                </c:pt>
              </c:numCache>
            </c:numRef>
          </c:cat>
          <c:val>
            <c:numRef>
              <c:f>Manganese!$L$4:$L$7</c:f>
              <c:numCache>
                <c:formatCode>General</c:formatCode>
                <c:ptCount val="4"/>
                <c:pt idx="0">
                  <c:v>1.0</c:v>
                </c:pt>
                <c:pt idx="1">
                  <c:v>1.016313289701804</c:v>
                </c:pt>
                <c:pt idx="2">
                  <c:v>0.900556816964561</c:v>
                </c:pt>
                <c:pt idx="3">
                  <c:v>0.850779183578118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0833416"/>
        <c:axId val="2120838888"/>
      </c:barChart>
      <c:catAx>
        <c:axId val="212083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838888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0838888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20833416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Paraquat</a:t>
            </a:r>
            <a:endParaRPr lang="en-US" sz="1000" baseline="-25000"/>
          </a:p>
        </c:rich>
      </c:tx>
      <c:layout>
        <c:manualLayout>
          <c:xMode val="edge"/>
          <c:yMode val="edge"/>
          <c:x val="0.806117333924809"/>
          <c:y val="0.0168066064912618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Paraquat!$M$5:$M$8</c:f>
                <c:numCache>
                  <c:formatCode>General</c:formatCode>
                  <c:ptCount val="4"/>
                  <c:pt idx="0">
                    <c:v>0.0207596706120008</c:v>
                  </c:pt>
                  <c:pt idx="1">
                    <c:v>0.0880529599712517</c:v>
                  </c:pt>
                  <c:pt idx="2">
                    <c:v>0.0371515931102566</c:v>
                  </c:pt>
                  <c:pt idx="3">
                    <c:v>0.0368500330991431</c:v>
                  </c:pt>
                </c:numCache>
              </c:numRef>
            </c:plus>
            <c:minus>
              <c:numRef>
                <c:f>Paraquat!$M$5:$M$8</c:f>
                <c:numCache>
                  <c:formatCode>General</c:formatCode>
                  <c:ptCount val="4"/>
                  <c:pt idx="0">
                    <c:v>0.0207596706120008</c:v>
                  </c:pt>
                  <c:pt idx="1">
                    <c:v>0.0880529599712517</c:v>
                  </c:pt>
                  <c:pt idx="2">
                    <c:v>0.0371515931102566</c:v>
                  </c:pt>
                  <c:pt idx="3">
                    <c:v>0.0368500330991431</c:v>
                  </c:pt>
                </c:numCache>
              </c:numRef>
            </c:minus>
          </c:errBars>
          <c:cat>
            <c:numRef>
              <c:f>Paraquat!$K$5:$K$8</c:f>
              <c:numCache>
                <c:formatCode>General</c:formatCode>
                <c:ptCount val="4"/>
                <c:pt idx="0">
                  <c:v>0.0</c:v>
                </c:pt>
                <c:pt idx="1">
                  <c:v>0.6</c:v>
                </c:pt>
                <c:pt idx="2">
                  <c:v>6.0</c:v>
                </c:pt>
                <c:pt idx="3">
                  <c:v>20.0</c:v>
                </c:pt>
              </c:numCache>
            </c:numRef>
          </c:cat>
          <c:val>
            <c:numRef>
              <c:f>Paraquat!$L$5:$L$8</c:f>
              <c:numCache>
                <c:formatCode>General</c:formatCode>
                <c:ptCount val="4"/>
                <c:pt idx="0">
                  <c:v>1.0</c:v>
                </c:pt>
                <c:pt idx="1">
                  <c:v>0.962002900672065</c:v>
                </c:pt>
                <c:pt idx="2">
                  <c:v>0.804455725585581</c:v>
                </c:pt>
                <c:pt idx="3">
                  <c:v>0.772008702525756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0856520"/>
        <c:axId val="2122571384"/>
      </c:barChart>
      <c:catAx>
        <c:axId val="21208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571384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2571384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20856520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Maneb</a:t>
            </a:r>
            <a:endParaRPr lang="en-US" sz="1000" baseline="-25000"/>
          </a:p>
        </c:rich>
      </c:tx>
      <c:layout>
        <c:manualLayout>
          <c:xMode val="edge"/>
          <c:yMode val="edge"/>
          <c:x val="0.827785806297507"/>
          <c:y val="0.023310671531912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Maneb!$N$3:$N$7</c:f>
                <c:numCache>
                  <c:formatCode>General</c:formatCode>
                  <c:ptCount val="5"/>
                  <c:pt idx="0">
                    <c:v>0.0212835464496056</c:v>
                  </c:pt>
                  <c:pt idx="1">
                    <c:v>0.0353386410621377</c:v>
                  </c:pt>
                  <c:pt idx="2">
                    <c:v>0.0565646478822705</c:v>
                  </c:pt>
                  <c:pt idx="3">
                    <c:v>0.0260658620617374</c:v>
                  </c:pt>
                  <c:pt idx="4">
                    <c:v>0.0340648764559429</c:v>
                  </c:pt>
                </c:numCache>
              </c:numRef>
            </c:plus>
            <c:minus>
              <c:numRef>
                <c:f>Maneb!$N$3:$N$7</c:f>
                <c:numCache>
                  <c:formatCode>General</c:formatCode>
                  <c:ptCount val="5"/>
                  <c:pt idx="0">
                    <c:v>0.0212835464496056</c:v>
                  </c:pt>
                  <c:pt idx="1">
                    <c:v>0.0353386410621377</c:v>
                  </c:pt>
                  <c:pt idx="2">
                    <c:v>0.0565646478822705</c:v>
                  </c:pt>
                  <c:pt idx="3">
                    <c:v>0.0260658620617374</c:v>
                  </c:pt>
                  <c:pt idx="4">
                    <c:v>0.0340648764559429</c:v>
                  </c:pt>
                </c:numCache>
              </c:numRef>
            </c:minus>
          </c:errBars>
          <c:cat>
            <c:strRef>
              <c:f>Maneb!$L$3:$L$7</c:f>
              <c:strCache>
                <c:ptCount val="5"/>
                <c:pt idx="0">
                  <c:v>0</c:v>
                </c:pt>
                <c:pt idx="1">
                  <c:v>DMSO</c:v>
                </c:pt>
                <c:pt idx="2">
                  <c:v>23</c:v>
                </c:pt>
                <c:pt idx="3">
                  <c:v>226</c:v>
                </c:pt>
                <c:pt idx="4">
                  <c:v>754</c:v>
                </c:pt>
              </c:strCache>
            </c:strRef>
          </c:cat>
          <c:val>
            <c:numRef>
              <c:f>Maneb!$M$3:$M$7</c:f>
              <c:numCache>
                <c:formatCode>General</c:formatCode>
                <c:ptCount val="5"/>
                <c:pt idx="0">
                  <c:v>1.0</c:v>
                </c:pt>
                <c:pt idx="1">
                  <c:v>0.856026594079598</c:v>
                </c:pt>
                <c:pt idx="2">
                  <c:v>0.91755547329351</c:v>
                </c:pt>
                <c:pt idx="3">
                  <c:v>0.823182561920029</c:v>
                </c:pt>
                <c:pt idx="4">
                  <c:v>0.824790774831838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2614600"/>
        <c:axId val="2122620360"/>
      </c:barChart>
      <c:catAx>
        <c:axId val="2122614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</a:t>
                </a:r>
                <a:r>
                  <a:rPr lang="el-GR">
                    <a:latin typeface="Tahoma"/>
                    <a:ea typeface="Tahoma"/>
                    <a:cs typeface="Tahoma"/>
                  </a:rPr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2620360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2620360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22614600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Rotenone</a:t>
            </a:r>
            <a:endParaRPr lang="en-US" sz="1000" baseline="-25000"/>
          </a:p>
        </c:rich>
      </c:tx>
      <c:layout>
        <c:manualLayout>
          <c:xMode val="edge"/>
          <c:yMode val="edge"/>
          <c:x val="0.658771721790464"/>
          <c:y val="0.00379847640996095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Rotenone!$M$4:$M$8</c:f>
                <c:numCache>
                  <c:formatCode>General</c:formatCode>
                  <c:ptCount val="5"/>
                  <c:pt idx="0">
                    <c:v>0.0212835464496056</c:v>
                  </c:pt>
                  <c:pt idx="1">
                    <c:v>0.0353386410621377</c:v>
                  </c:pt>
                  <c:pt idx="2">
                    <c:v>0.0389038331319712</c:v>
                  </c:pt>
                  <c:pt idx="3">
                    <c:v>0.0484953270387595</c:v>
                  </c:pt>
                  <c:pt idx="4">
                    <c:v>0.0482937929963166</c:v>
                  </c:pt>
                </c:numCache>
              </c:numRef>
            </c:plus>
            <c:minus>
              <c:numRef>
                <c:f>Rotenone!$M$4:$M$8</c:f>
                <c:numCache>
                  <c:formatCode>General</c:formatCode>
                  <c:ptCount val="5"/>
                  <c:pt idx="0">
                    <c:v>0.0212835464496056</c:v>
                  </c:pt>
                  <c:pt idx="1">
                    <c:v>0.0353386410621377</c:v>
                  </c:pt>
                  <c:pt idx="2">
                    <c:v>0.0389038331319712</c:v>
                  </c:pt>
                  <c:pt idx="3">
                    <c:v>0.0484953270387595</c:v>
                  </c:pt>
                  <c:pt idx="4">
                    <c:v>0.0482937929963166</c:v>
                  </c:pt>
                </c:numCache>
              </c:numRef>
            </c:minus>
          </c:errBars>
          <c:cat>
            <c:strRef>
              <c:f>Rotenone!$K$4:$K$8</c:f>
              <c:strCache>
                <c:ptCount val="5"/>
                <c:pt idx="0">
                  <c:v>0</c:v>
                </c:pt>
                <c:pt idx="1">
                  <c:v>DMSO</c:v>
                </c:pt>
                <c:pt idx="2">
                  <c:v>0.6</c:v>
                </c:pt>
                <c:pt idx="3">
                  <c:v>6.3</c:v>
                </c:pt>
                <c:pt idx="4">
                  <c:v>21.1</c:v>
                </c:pt>
              </c:strCache>
            </c:strRef>
          </c:cat>
          <c:val>
            <c:numRef>
              <c:f>Rotenone!$L$4:$L$8</c:f>
              <c:numCache>
                <c:formatCode>General</c:formatCode>
                <c:ptCount val="5"/>
                <c:pt idx="0">
                  <c:v>1.0</c:v>
                </c:pt>
                <c:pt idx="1">
                  <c:v>0.856026594079598</c:v>
                </c:pt>
                <c:pt idx="2">
                  <c:v>0.929684164619691</c:v>
                </c:pt>
                <c:pt idx="3">
                  <c:v>0.99502269130189</c:v>
                </c:pt>
                <c:pt idx="4">
                  <c:v>1.127599333649476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1123464"/>
        <c:axId val="2120761112"/>
      </c:barChart>
      <c:catAx>
        <c:axId val="2121123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</a:t>
                </a:r>
                <a:r>
                  <a:rPr lang="el-GR">
                    <a:latin typeface="Tahoma"/>
                    <a:ea typeface="Tahoma"/>
                    <a:cs typeface="Tahoma"/>
                  </a:rPr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761112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0761112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21123464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>
                <a:latin typeface="Tahoma"/>
                <a:cs typeface="Tahoma"/>
              </a:defRPr>
            </a:pPr>
            <a:r>
              <a:rPr lang="en-US" sz="600">
                <a:latin typeface="Tahoma"/>
                <a:cs typeface="Tahoma"/>
              </a:rPr>
              <a:t>6-OHDA</a:t>
            </a:r>
          </a:p>
        </c:rich>
      </c:tx>
      <c:layout>
        <c:manualLayout>
          <c:xMode val="edge"/>
          <c:yMode val="edge"/>
          <c:x val="0.839920955826468"/>
          <c:y val="0.00289380349195481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  <a:ln w="9525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'6-OHDA'!$Q$3:$Q$6</c:f>
                <c:numCache>
                  <c:formatCode>General</c:formatCode>
                  <c:ptCount val="4"/>
                  <c:pt idx="0">
                    <c:v>0.0335124498817929</c:v>
                  </c:pt>
                  <c:pt idx="1">
                    <c:v>0.0472171693389781</c:v>
                  </c:pt>
                  <c:pt idx="2">
                    <c:v>0.0490883829997963</c:v>
                  </c:pt>
                  <c:pt idx="3">
                    <c:v>0.146025258446899</c:v>
                  </c:pt>
                </c:numCache>
              </c:numRef>
            </c:plus>
            <c:minus>
              <c:numRef>
                <c:f>'6-OHDA'!$Q$3:$Q$6</c:f>
                <c:numCache>
                  <c:formatCode>General</c:formatCode>
                  <c:ptCount val="4"/>
                  <c:pt idx="0">
                    <c:v>0.0335124498817929</c:v>
                  </c:pt>
                  <c:pt idx="1">
                    <c:v>0.0472171693389781</c:v>
                  </c:pt>
                  <c:pt idx="2">
                    <c:v>0.0490883829997963</c:v>
                  </c:pt>
                  <c:pt idx="3">
                    <c:v>0.146025258446899</c:v>
                  </c:pt>
                </c:numCache>
              </c:numRef>
            </c:minus>
          </c:errBars>
          <c:cat>
            <c:numRef>
              <c:f>'6-OHDA'!$O$3:$O$6</c:f>
              <c:numCache>
                <c:formatCode>General</c:formatCode>
                <c:ptCount val="4"/>
                <c:pt idx="0">
                  <c:v>0.0</c:v>
                </c:pt>
                <c:pt idx="1">
                  <c:v>50.0</c:v>
                </c:pt>
                <c:pt idx="2">
                  <c:v>100.0</c:v>
                </c:pt>
                <c:pt idx="3">
                  <c:v>150.0</c:v>
                </c:pt>
              </c:numCache>
            </c:numRef>
          </c:cat>
          <c:val>
            <c:numRef>
              <c:f>'6-OHDA'!$P$3:$P$6</c:f>
              <c:numCache>
                <c:formatCode>General</c:formatCode>
                <c:ptCount val="4"/>
                <c:pt idx="0">
                  <c:v>1.0</c:v>
                </c:pt>
                <c:pt idx="1">
                  <c:v>0.987177926213462</c:v>
                </c:pt>
                <c:pt idx="2">
                  <c:v>1.088036771372577</c:v>
                </c:pt>
                <c:pt idx="3">
                  <c:v>1.012918455190077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2528296"/>
        <c:axId val="2122533928"/>
      </c:barChart>
      <c:catAx>
        <c:axId val="212252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>
                    <a:latin typeface="Tahoma"/>
                    <a:cs typeface="Tahoma"/>
                  </a:defRPr>
                </a:pPr>
                <a:r>
                  <a:rPr lang="en-US" sz="600">
                    <a:latin typeface="Tahoma"/>
                    <a:cs typeface="Tahoma"/>
                  </a:rPr>
                  <a:t>Concentration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Tahoma"/>
                <a:cs typeface="Tahoma"/>
              </a:defRPr>
            </a:pPr>
            <a:endParaRPr lang="en-US"/>
          </a:p>
        </c:txPr>
        <c:crossAx val="2122533928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2533928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600">
                    <a:latin typeface="Tahoma"/>
                    <a:cs typeface="Tahoma"/>
                  </a:defRPr>
                </a:pPr>
                <a:r>
                  <a:rPr lang="en-US" sz="600">
                    <a:latin typeface="Tahoma"/>
                    <a:cs typeface="Tahoma"/>
                  </a:rPr>
                  <a:t>mtDNA</a:t>
                </a:r>
                <a:r>
                  <a:rPr lang="en-US" sz="600" baseline="0">
                    <a:latin typeface="Tahoma"/>
                    <a:cs typeface="Tahoma"/>
                  </a:rPr>
                  <a:t> : nuDNA ratio</a:t>
                </a:r>
                <a:endParaRPr lang="en-US" sz="600">
                  <a:latin typeface="Tahoma"/>
                  <a:cs typeface="Tahoma"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Tahoma"/>
                <a:cs typeface="Tahoma"/>
              </a:defRPr>
            </a:pPr>
            <a:endParaRPr lang="en-US"/>
          </a:p>
        </c:txPr>
        <c:crossAx val="2122528296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spPr>
    <a:ln w="6350" cmpd="sng"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Aflatoxin B</a:t>
            </a:r>
            <a:r>
              <a:rPr lang="en-US" sz="1000" baseline="-25000"/>
              <a:t>1</a:t>
            </a:r>
          </a:p>
        </c:rich>
      </c:tx>
      <c:layout>
        <c:manualLayout>
          <c:xMode val="edge"/>
          <c:yMode val="edge"/>
          <c:x val="0.797449887954606"/>
          <c:y val="0.0168067226890756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AflatoxinB1!$N$3:$N$6</c:f>
                <c:numCache>
                  <c:formatCode>General</c:formatCode>
                  <c:ptCount val="4"/>
                  <c:pt idx="0">
                    <c:v>0.0136872110011967</c:v>
                  </c:pt>
                  <c:pt idx="1">
                    <c:v>0.0599544898793687</c:v>
                  </c:pt>
                  <c:pt idx="2">
                    <c:v>0.0374041140388291</c:v>
                  </c:pt>
                  <c:pt idx="3">
                    <c:v>0.0278573304165781</c:v>
                  </c:pt>
                </c:numCache>
              </c:numRef>
            </c:plus>
            <c:minus>
              <c:numRef>
                <c:f>AflatoxinB1!$N$3:$N$6</c:f>
                <c:numCache>
                  <c:formatCode>General</c:formatCode>
                  <c:ptCount val="4"/>
                  <c:pt idx="0">
                    <c:v>0.0136872110011967</c:v>
                  </c:pt>
                  <c:pt idx="1">
                    <c:v>0.0599544898793687</c:v>
                  </c:pt>
                  <c:pt idx="2">
                    <c:v>0.0374041140388291</c:v>
                  </c:pt>
                  <c:pt idx="3">
                    <c:v>0.0278573304165781</c:v>
                  </c:pt>
                </c:numCache>
              </c:numRef>
            </c:minus>
          </c:errBars>
          <c:cat>
            <c:strRef>
              <c:f>AflatoxinB1!$L$3:$L$6</c:f>
              <c:strCache>
                <c:ptCount val="4"/>
                <c:pt idx="0">
                  <c:v>DMSO</c:v>
                </c:pt>
                <c:pt idx="1">
                  <c:v>3</c:v>
                </c:pt>
                <c:pt idx="2">
                  <c:v>30</c:v>
                </c:pt>
                <c:pt idx="3">
                  <c:v>100</c:v>
                </c:pt>
              </c:strCache>
            </c:strRef>
          </c:cat>
          <c:val>
            <c:numRef>
              <c:f>AflatoxinB1!$M$3:$M$6</c:f>
              <c:numCache>
                <c:formatCode>General</c:formatCode>
                <c:ptCount val="4"/>
                <c:pt idx="0">
                  <c:v>1.0</c:v>
                </c:pt>
                <c:pt idx="1">
                  <c:v>1.057823129251701</c:v>
                </c:pt>
                <c:pt idx="2">
                  <c:v>0.962585034013605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3146728"/>
        <c:axId val="2123152456"/>
      </c:barChart>
      <c:catAx>
        <c:axId val="2123146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 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3152456"/>
        <c:crossesAt val="0.0"/>
        <c:auto val="1"/>
        <c:lblAlgn val="ctr"/>
        <c:lblOffset val="10"/>
        <c:tickLblSkip val="1"/>
        <c:tickMarkSkip val="1"/>
        <c:noMultiLvlLbl val="0"/>
      </c:catAx>
      <c:valAx>
        <c:axId val="2123152456"/>
        <c:scaling>
          <c:orientation val="minMax"/>
          <c:max val="1.2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/>
                  <a:t>mtDNA</a:t>
                </a:r>
                <a:r>
                  <a:rPr lang="en-US" sz="1000" baseline="0"/>
                  <a:t> : nuDNA ratio</a:t>
                </a:r>
                <a:endParaRPr lang="en-US" sz="100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2123146728"/>
        <c:crosses val="autoZero"/>
        <c:crossBetween val="between"/>
        <c:majorUnit val="0.2"/>
        <c:min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15</xdr:col>
      <xdr:colOff>492125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10</xdr:row>
      <xdr:rowOff>57150</xdr:rowOff>
    </xdr:from>
    <xdr:to>
      <xdr:col>15</xdr:col>
      <xdr:colOff>473075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15</xdr:col>
      <xdr:colOff>492125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9</xdr:row>
      <xdr:rowOff>19050</xdr:rowOff>
    </xdr:from>
    <xdr:to>
      <xdr:col>16</xdr:col>
      <xdr:colOff>82550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10</xdr:row>
      <xdr:rowOff>57150</xdr:rowOff>
    </xdr:from>
    <xdr:to>
      <xdr:col>15</xdr:col>
      <xdr:colOff>530225</xdr:colOff>
      <xdr:row>20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177800</xdr:colOff>
      <xdr:row>10</xdr:row>
      <xdr:rowOff>0</xdr:rowOff>
    </xdr:from>
    <xdr:to>
      <xdr:col>20</xdr:col>
      <xdr:colOff>101600</xdr:colOff>
      <xdr:row>20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11</xdr:row>
      <xdr:rowOff>133350</xdr:rowOff>
    </xdr:from>
    <xdr:to>
      <xdr:col>18</xdr:col>
      <xdr:colOff>19050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Cadmium-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Manganese-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Paraquat-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Maneb-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Rotenone-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6ohda-Lesions.copynumgraph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gonzalez/Dropbox/Research/Publications/Neuro%20Paper/RT_PCR%20data/Max%20mito%20by%20nuc%20ALL%20AF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Sorted"/>
      <sheetName val="Sheet3"/>
    </sheetNames>
    <sheetDataSet>
      <sheetData sheetId="0" refreshError="1"/>
      <sheetData sheetId="1">
        <row r="4">
          <cell r="Q4">
            <v>0</v>
          </cell>
          <cell r="R4">
            <v>1</v>
          </cell>
          <cell r="S4">
            <v>1.11551560246203E-2</v>
          </cell>
        </row>
        <row r="5">
          <cell r="Q5">
            <v>0.03</v>
          </cell>
          <cell r="R5">
            <v>1.0272826183612707</v>
          </cell>
          <cell r="S5">
            <v>3.58431594656696E-2</v>
          </cell>
        </row>
        <row r="6">
          <cell r="Q6">
            <v>0.3</v>
          </cell>
          <cell r="R6">
            <v>0.91109010061709816</v>
          </cell>
          <cell r="S6">
            <v>1.42657616522137E-2</v>
          </cell>
        </row>
        <row r="7">
          <cell r="Q7">
            <v>1</v>
          </cell>
          <cell r="R7">
            <v>0.82773929330528928</v>
          </cell>
          <cell r="S7">
            <v>1.9522122159518901E-2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Sorted"/>
    </sheetNames>
    <sheetDataSet>
      <sheetData sheetId="0" refreshError="1"/>
      <sheetData sheetId="1">
        <row r="4">
          <cell r="Q4">
            <v>0</v>
          </cell>
          <cell r="R4">
            <v>1</v>
          </cell>
          <cell r="S4">
            <v>1.11551560246203E-2</v>
          </cell>
        </row>
        <row r="5">
          <cell r="Q5">
            <v>0.75</v>
          </cell>
          <cell r="R5">
            <v>1.0163132897018041</v>
          </cell>
          <cell r="S5">
            <v>2.6293495767962898E-2</v>
          </cell>
        </row>
        <row r="6">
          <cell r="Q6">
            <v>7.5</v>
          </cell>
          <cell r="R6">
            <v>0.90055681696456125</v>
          </cell>
          <cell r="S6">
            <v>1.21396032657152E-2</v>
          </cell>
        </row>
        <row r="7">
          <cell r="Q7">
            <v>25</v>
          </cell>
          <cell r="R7">
            <v>0.85077918357811855</v>
          </cell>
          <cell r="S7">
            <v>1.4134997716633201E-2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sorted"/>
      <sheetName val="Sheet3"/>
    </sheetNames>
    <sheetDataSet>
      <sheetData sheetId="0" refreshError="1"/>
      <sheetData sheetId="1">
        <row r="5">
          <cell r="R5">
            <v>0</v>
          </cell>
          <cell r="S5">
            <v>1</v>
          </cell>
          <cell r="T5">
            <v>2.0759670612000802E-2</v>
          </cell>
        </row>
        <row r="6">
          <cell r="R6">
            <v>0.6</v>
          </cell>
          <cell r="S6">
            <v>0.96200290067206551</v>
          </cell>
          <cell r="T6">
            <v>8.805295997125169E-2</v>
          </cell>
        </row>
        <row r="7">
          <cell r="R7">
            <v>6</v>
          </cell>
          <cell r="S7">
            <v>0.80445572558558065</v>
          </cell>
          <cell r="T7">
            <v>3.7151593110256599E-2</v>
          </cell>
        </row>
        <row r="8">
          <cell r="R8">
            <v>20</v>
          </cell>
          <cell r="S8">
            <v>0.77200870252575626</v>
          </cell>
          <cell r="T8">
            <v>3.6850033099143101E-2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Sorted"/>
      <sheetName val="Sheet3"/>
    </sheetNames>
    <sheetDataSet>
      <sheetData sheetId="0" refreshError="1"/>
      <sheetData sheetId="1">
        <row r="3">
          <cell r="S3">
            <v>0</v>
          </cell>
          <cell r="T3">
            <v>1</v>
          </cell>
          <cell r="U3">
            <v>2.12835464496056E-2</v>
          </cell>
        </row>
        <row r="4">
          <cell r="S4" t="str">
            <v>DMSO</v>
          </cell>
          <cell r="T4">
            <v>0.85602659407959825</v>
          </cell>
          <cell r="U4">
            <v>3.5338641062137702E-2</v>
          </cell>
        </row>
        <row r="5">
          <cell r="S5">
            <v>23</v>
          </cell>
          <cell r="T5">
            <v>0.91755547329350962</v>
          </cell>
          <cell r="U5">
            <v>5.6564647882270495E-2</v>
          </cell>
        </row>
        <row r="6">
          <cell r="S6">
            <v>226</v>
          </cell>
          <cell r="T6">
            <v>0.8231825619200287</v>
          </cell>
          <cell r="U6">
            <v>2.6065862061737399E-2</v>
          </cell>
        </row>
        <row r="7">
          <cell r="S7">
            <v>754</v>
          </cell>
          <cell r="T7">
            <v>0.82479077483183805</v>
          </cell>
          <cell r="U7">
            <v>3.4064876455942895E-2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ig"/>
      <sheetName val="sorted"/>
      <sheetName val="Sheet2"/>
      <sheetName val="Sheet3"/>
    </sheetNames>
    <sheetDataSet>
      <sheetData sheetId="0" refreshError="1"/>
      <sheetData sheetId="1">
        <row r="4">
          <cell r="R4">
            <v>0</v>
          </cell>
          <cell r="S4">
            <v>1</v>
          </cell>
          <cell r="T4">
            <v>2.12835464496056E-2</v>
          </cell>
        </row>
        <row r="5">
          <cell r="R5" t="str">
            <v>DMSO</v>
          </cell>
          <cell r="S5">
            <v>0.85602659407959825</v>
          </cell>
          <cell r="T5">
            <v>3.5338641062137702E-2</v>
          </cell>
        </row>
        <row r="6">
          <cell r="R6">
            <v>0.6</v>
          </cell>
          <cell r="S6">
            <v>0.92968416461969083</v>
          </cell>
          <cell r="T6">
            <v>3.8903833131971204E-2</v>
          </cell>
        </row>
        <row r="7">
          <cell r="R7">
            <v>6.3</v>
          </cell>
          <cell r="S7">
            <v>0.99502269130189025</v>
          </cell>
          <cell r="T7">
            <v>4.84953270387595E-2</v>
          </cell>
        </row>
        <row r="8">
          <cell r="R8">
            <v>21.1</v>
          </cell>
          <cell r="S8">
            <v>1.1275993336494758</v>
          </cell>
          <cell r="T8">
            <v>4.8293792996316601E-2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pyNum"/>
      <sheetName val="Lesions"/>
      <sheetName val="LesionsGraph"/>
    </sheetNames>
    <sheetDataSet>
      <sheetData sheetId="0">
        <row r="3">
          <cell r="R3">
            <v>0</v>
          </cell>
          <cell r="S3">
            <v>1</v>
          </cell>
          <cell r="T3">
            <v>3.3512449881792895E-2</v>
          </cell>
        </row>
        <row r="4">
          <cell r="R4">
            <v>50</v>
          </cell>
          <cell r="S4">
            <v>0.98717792621346179</v>
          </cell>
          <cell r="T4">
            <v>4.7217169338978106E-2</v>
          </cell>
        </row>
        <row r="5">
          <cell r="R5">
            <v>100</v>
          </cell>
          <cell r="S5">
            <v>1.0880367713725767</v>
          </cell>
          <cell r="T5">
            <v>4.9088382999796301E-2</v>
          </cell>
        </row>
        <row r="6">
          <cell r="R6">
            <v>150</v>
          </cell>
          <cell r="S6">
            <v>1.0129184551900767</v>
          </cell>
          <cell r="T6">
            <v>0.14602525844689901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"/>
      <sheetName val="nuc"/>
      <sheetName val="mt by nuc"/>
    </sheetNames>
    <sheetDataSet>
      <sheetData sheetId="0" refreshError="1"/>
      <sheetData sheetId="1" refreshError="1"/>
      <sheetData sheetId="2">
        <row r="3">
          <cell r="Q3" t="str">
            <v>DMSO</v>
          </cell>
          <cell r="R3">
            <v>1</v>
          </cell>
          <cell r="S3">
            <v>1.3687211001196671E-2</v>
          </cell>
        </row>
        <row r="4">
          <cell r="Q4">
            <v>3</v>
          </cell>
          <cell r="R4">
            <v>1.0578231292517009</v>
          </cell>
          <cell r="S4">
            <v>5.9954489879368723E-2</v>
          </cell>
        </row>
        <row r="5">
          <cell r="Q5">
            <v>30</v>
          </cell>
          <cell r="R5">
            <v>0.96258503401360551</v>
          </cell>
          <cell r="S5">
            <v>3.740411403882906E-2</v>
          </cell>
        </row>
        <row r="6">
          <cell r="Q6">
            <v>100</v>
          </cell>
          <cell r="R6">
            <v>1</v>
          </cell>
          <cell r="S6">
            <v>2.7857330416578147E-2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I1" sqref="I1:J1048576"/>
    </sheetView>
  </sheetViews>
  <sheetFormatPr baseColWidth="10" defaultColWidth="8.83203125" defaultRowHeight="14" x14ac:dyDescent="0"/>
  <cols>
    <col min="3" max="3" width="5.83203125" customWidth="1"/>
    <col min="5" max="5" width="3.6640625" customWidth="1"/>
    <col min="6" max="6" width="15.33203125" customWidth="1"/>
    <col min="7" max="7" width="15" customWidth="1"/>
  </cols>
  <sheetData>
    <row r="1" spans="1:13" ht="18">
      <c r="A1" s="1"/>
      <c r="B1" s="1"/>
      <c r="C1" s="1"/>
      <c r="D1" s="1"/>
      <c r="E1" s="1"/>
      <c r="F1" s="1" t="s">
        <v>0</v>
      </c>
      <c r="G1" s="1" t="s">
        <v>2</v>
      </c>
      <c r="H1" s="3" t="s">
        <v>3</v>
      </c>
    </row>
    <row r="2" spans="1:13" ht="18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4" t="s">
        <v>10</v>
      </c>
      <c r="G2" s="4" t="s">
        <v>10</v>
      </c>
      <c r="H2" s="3" t="s">
        <v>2</v>
      </c>
      <c r="I2" s="6" t="s">
        <v>12</v>
      </c>
      <c r="J2" s="6" t="s">
        <v>13</v>
      </c>
      <c r="K2" s="6"/>
      <c r="L2" s="6"/>
    </row>
    <row r="3" spans="1:13">
      <c r="A3" t="s">
        <v>14</v>
      </c>
      <c r="D3" s="7" t="s">
        <v>15</v>
      </c>
      <c r="E3">
        <v>1</v>
      </c>
      <c r="F3" s="8">
        <v>143877.79011973363</v>
      </c>
      <c r="G3" s="8">
        <v>2815.2634776393788</v>
      </c>
      <c r="H3" s="5">
        <f>F3/G3</f>
        <v>51.106332058261316</v>
      </c>
    </row>
    <row r="4" spans="1:13">
      <c r="A4" t="s">
        <v>14</v>
      </c>
      <c r="D4" s="7" t="s">
        <v>15</v>
      </c>
      <c r="E4">
        <v>2</v>
      </c>
      <c r="F4" s="8">
        <v>182109.5222894928</v>
      </c>
      <c r="G4" s="8">
        <v>3204.5666530362382</v>
      </c>
      <c r="H4" s="5">
        <f>F4/G4</f>
        <v>56.828127483929556</v>
      </c>
      <c r="K4">
        <v>0</v>
      </c>
      <c r="L4">
        <f>46.3640271229262/46.3640271229262</f>
        <v>1</v>
      </c>
      <c r="M4">
        <f>1.11551560246203/100</f>
        <v>1.11551560246203E-2</v>
      </c>
    </row>
    <row r="5" spans="1:13">
      <c r="A5" t="s">
        <v>14</v>
      </c>
      <c r="D5" s="7" t="s">
        <v>15</v>
      </c>
      <c r="E5">
        <v>3</v>
      </c>
      <c r="F5" s="8">
        <v>179216.33203002441</v>
      </c>
      <c r="G5" s="8">
        <v>3490.7255842188442</v>
      </c>
      <c r="H5" s="5">
        <f>F5/G5</f>
        <v>51.340710607628445</v>
      </c>
      <c r="K5">
        <v>0.03</v>
      </c>
      <c r="L5">
        <f>47.6289591806126/46.3640271229262</f>
        <v>1.0272826183612707</v>
      </c>
      <c r="M5">
        <f>3.58431594656696/100</f>
        <v>3.58431594656696E-2</v>
      </c>
    </row>
    <row r="6" spans="1:13">
      <c r="A6" t="s">
        <v>14</v>
      </c>
      <c r="D6" s="7" t="s">
        <v>15</v>
      </c>
      <c r="E6">
        <v>4</v>
      </c>
      <c r="F6" s="8">
        <v>156587.20594915198</v>
      </c>
      <c r="G6" s="8">
        <v>3324.2156883018515</v>
      </c>
      <c r="H6" s="5">
        <f>F6/G6</f>
        <v>47.105007806862034</v>
      </c>
      <c r="K6">
        <v>0.3</v>
      </c>
      <c r="L6">
        <f>42.2418061364407/46.3640271229262</f>
        <v>0.91109010061709816</v>
      </c>
      <c r="M6">
        <f>1.42657616522137/100</f>
        <v>1.42657616522137E-2</v>
      </c>
    </row>
    <row r="7" spans="1:13">
      <c r="A7" t="s">
        <v>14</v>
      </c>
      <c r="D7" s="7" t="s">
        <v>15</v>
      </c>
      <c r="E7">
        <v>5</v>
      </c>
      <c r="F7" s="8">
        <v>123996.93777113699</v>
      </c>
      <c r="G7" s="8">
        <v>3157.9216798496905</v>
      </c>
      <c r="H7" s="5">
        <f>F7/G7</f>
        <v>39.265361950660839</v>
      </c>
      <c r="K7">
        <v>1</v>
      </c>
      <c r="L7">
        <f>38.3773270455182/46.3640271229262</f>
        <v>0.82773929330528928</v>
      </c>
      <c r="M7">
        <f>1.95221221595189/100</f>
        <v>1.9522122159518901E-2</v>
      </c>
    </row>
    <row r="8" spans="1:13">
      <c r="A8" t="s">
        <v>14</v>
      </c>
      <c r="D8" s="7" t="s">
        <v>15</v>
      </c>
      <c r="E8">
        <v>6</v>
      </c>
      <c r="F8" s="8">
        <v>151304.74644535652</v>
      </c>
      <c r="G8" s="8">
        <v>3173.3940726863675</v>
      </c>
      <c r="H8" s="5">
        <f>F8/G8</f>
        <v>47.679154551792806</v>
      </c>
    </row>
    <row r="9" spans="1:13">
      <c r="A9" t="s">
        <v>14</v>
      </c>
      <c r="D9" s="7" t="s">
        <v>15</v>
      </c>
      <c r="E9">
        <v>7</v>
      </c>
      <c r="F9" s="8">
        <v>96629.687358314361</v>
      </c>
      <c r="G9" s="8">
        <v>2204.8877009219523</v>
      </c>
      <c r="H9" s="5">
        <f>F9/G9</f>
        <v>43.825219451271643</v>
      </c>
    </row>
    <row r="10" spans="1:13">
      <c r="A10" t="s">
        <v>14</v>
      </c>
      <c r="D10" s="7" t="s">
        <v>15</v>
      </c>
      <c r="E10">
        <v>8</v>
      </c>
      <c r="F10" s="8">
        <v>143549.00189433133</v>
      </c>
      <c r="G10" s="8">
        <v>3236.0454448882001</v>
      </c>
      <c r="H10" s="5">
        <f>F10/G10</f>
        <v>44.359389983563936</v>
      </c>
    </row>
    <row r="11" spans="1:13">
      <c r="A11" t="s">
        <v>14</v>
      </c>
      <c r="D11" s="7" t="s">
        <v>16</v>
      </c>
      <c r="E11">
        <v>1</v>
      </c>
      <c r="F11" s="8">
        <v>83952.916683092437</v>
      </c>
      <c r="G11" s="8">
        <v>1825.4984668478735</v>
      </c>
      <c r="H11" s="9">
        <f>F11/G11</f>
        <v>45.989037080954496</v>
      </c>
    </row>
    <row r="12" spans="1:13">
      <c r="A12" t="s">
        <v>14</v>
      </c>
      <c r="D12" s="7" t="s">
        <v>16</v>
      </c>
      <c r="E12">
        <v>2</v>
      </c>
      <c r="F12" s="8">
        <v>90284.597321467634</v>
      </c>
      <c r="G12" s="8">
        <v>2091.0631135889153</v>
      </c>
      <c r="H12" s="9">
        <f>F12/G12</f>
        <v>43.176409518558799</v>
      </c>
      <c r="I12" s="5">
        <f>AVERAGE(H3:H18)</f>
        <v>46.364027122926238</v>
      </c>
      <c r="J12">
        <f>STDEV(H3:H18)/SQRT(COUNT(H3:H18))</f>
        <v>1.1155156024620316</v>
      </c>
    </row>
    <row r="13" spans="1:13">
      <c r="A13" t="s">
        <v>14</v>
      </c>
      <c r="D13" s="7" t="s">
        <v>16</v>
      </c>
      <c r="E13">
        <v>3</v>
      </c>
      <c r="F13" s="8">
        <v>88256.27207540386</v>
      </c>
      <c r="G13" s="8">
        <v>1969.5792339088337</v>
      </c>
      <c r="H13" s="9">
        <f>F13/G13</f>
        <v>44.809708873834012</v>
      </c>
    </row>
    <row r="14" spans="1:13">
      <c r="A14" t="s">
        <v>14</v>
      </c>
      <c r="D14" s="7" t="s">
        <v>16</v>
      </c>
      <c r="E14">
        <v>4</v>
      </c>
      <c r="F14" s="8">
        <v>74766.757825276742</v>
      </c>
      <c r="G14" s="8">
        <v>1630.7724836544246</v>
      </c>
      <c r="H14" s="9">
        <f>F14/G14</f>
        <v>45.847448724257781</v>
      </c>
    </row>
    <row r="15" spans="1:13">
      <c r="A15" t="s">
        <v>14</v>
      </c>
      <c r="D15" s="7" t="s">
        <v>16</v>
      </c>
      <c r="E15">
        <v>5</v>
      </c>
      <c r="F15" s="8">
        <v>96434.207528169616</v>
      </c>
      <c r="G15" s="8">
        <v>2024.7459633287353</v>
      </c>
      <c r="H15" s="9">
        <f>F15/G15</f>
        <v>47.627805796253696</v>
      </c>
    </row>
    <row r="16" spans="1:13">
      <c r="A16" t="s">
        <v>14</v>
      </c>
      <c r="D16" s="7" t="s">
        <v>16</v>
      </c>
      <c r="E16">
        <v>6</v>
      </c>
      <c r="F16" s="8">
        <v>79678.140524358125</v>
      </c>
      <c r="G16" s="8">
        <v>1821.3009555542078</v>
      </c>
      <c r="H16" s="9">
        <f>F16/G16</f>
        <v>43.747926602340513</v>
      </c>
    </row>
    <row r="17" spans="1:10">
      <c r="A17" t="s">
        <v>14</v>
      </c>
      <c r="D17" s="7" t="s">
        <v>16</v>
      </c>
      <c r="E17">
        <v>7</v>
      </c>
      <c r="F17" s="8">
        <v>146488.62596872199</v>
      </c>
      <c r="G17" s="8">
        <v>2953.4573608549399</v>
      </c>
      <c r="H17" s="9">
        <f>F17/G17</f>
        <v>49.599031938053031</v>
      </c>
    </row>
    <row r="18" spans="1:10">
      <c r="A18" t="s">
        <v>14</v>
      </c>
      <c r="D18" s="7" t="s">
        <v>16</v>
      </c>
      <c r="E18">
        <v>8</v>
      </c>
      <c r="F18" s="8">
        <v>116714.02370067945</v>
      </c>
      <c r="G18" s="8">
        <v>2953.4573608549399</v>
      </c>
      <c r="H18" s="9">
        <f>F18/G18</f>
        <v>39.517761538596964</v>
      </c>
    </row>
    <row r="19" spans="1:10">
      <c r="A19" t="s">
        <v>17</v>
      </c>
      <c r="B19">
        <v>0.03</v>
      </c>
      <c r="C19" t="s">
        <v>18</v>
      </c>
      <c r="D19" s="7" t="s">
        <v>15</v>
      </c>
      <c r="E19">
        <v>1</v>
      </c>
      <c r="F19" s="8">
        <v>130696.31263109075</v>
      </c>
      <c r="G19" s="8">
        <v>2707.3090489171263</v>
      </c>
      <c r="H19" s="5">
        <f>F19/G19</f>
        <v>48.275357659431926</v>
      </c>
    </row>
    <row r="20" spans="1:10">
      <c r="A20" t="s">
        <v>17</v>
      </c>
      <c r="B20">
        <v>0.03</v>
      </c>
      <c r="C20" t="s">
        <v>18</v>
      </c>
      <c r="D20" s="7" t="s">
        <v>15</v>
      </c>
      <c r="E20">
        <v>2</v>
      </c>
      <c r="F20" s="8">
        <v>99546.7610905935</v>
      </c>
      <c r="G20" s="8">
        <v>1430.6448099185336</v>
      </c>
      <c r="H20" s="5">
        <f>F20/G20</f>
        <v>69.581744120164998</v>
      </c>
    </row>
    <row r="21" spans="1:10">
      <c r="A21" t="s">
        <v>17</v>
      </c>
      <c r="B21">
        <v>0.03</v>
      </c>
      <c r="C21" t="s">
        <v>18</v>
      </c>
      <c r="D21" s="7" t="s">
        <v>15</v>
      </c>
      <c r="E21">
        <v>3</v>
      </c>
      <c r="F21" s="8">
        <v>134641.79554534412</v>
      </c>
      <c r="G21" s="8">
        <v>2727.2302915814407</v>
      </c>
      <c r="H21" s="5">
        <f>F21/G21</f>
        <v>49.369426542732228</v>
      </c>
    </row>
    <row r="22" spans="1:10">
      <c r="A22" t="s">
        <v>17</v>
      </c>
      <c r="B22">
        <v>0.03</v>
      </c>
      <c r="C22" t="s">
        <v>18</v>
      </c>
      <c r="D22" s="7" t="s">
        <v>15</v>
      </c>
      <c r="E22">
        <v>4</v>
      </c>
      <c r="F22" s="8">
        <v>136502.74463735212</v>
      </c>
      <c r="G22" s="8">
        <v>3228.1468756025033</v>
      </c>
      <c r="H22" s="5">
        <f>F22/G22</f>
        <v>42.28517161626209</v>
      </c>
    </row>
    <row r="23" spans="1:10">
      <c r="A23" t="s">
        <v>17</v>
      </c>
      <c r="B23">
        <v>0.03</v>
      </c>
      <c r="C23" t="s">
        <v>18</v>
      </c>
      <c r="D23" s="7" t="s">
        <v>16</v>
      </c>
      <c r="E23">
        <v>1</v>
      </c>
      <c r="F23" s="8">
        <v>70317.709396371283</v>
      </c>
      <c r="G23" s="8">
        <v>1775.7604840090398</v>
      </c>
      <c r="H23" s="9">
        <f>F23/G23</f>
        <v>39.598645216847451</v>
      </c>
      <c r="I23" s="5">
        <f>AVERAGE(H19:H26)</f>
        <v>47.628959180612611</v>
      </c>
      <c r="J23">
        <f>STDEV(H19:H26)/SQRT(COUNT(H19:H26))</f>
        <v>3.5843159465669574</v>
      </c>
    </row>
    <row r="24" spans="1:10">
      <c r="A24" t="s">
        <v>17</v>
      </c>
      <c r="B24">
        <v>0.03</v>
      </c>
      <c r="C24" t="s">
        <v>18</v>
      </c>
      <c r="D24" s="7" t="s">
        <v>16</v>
      </c>
      <c r="E24">
        <v>2</v>
      </c>
      <c r="F24" s="8">
        <v>68737.958370775857</v>
      </c>
      <c r="G24" s="8">
        <v>1417.1251060130714</v>
      </c>
      <c r="H24" s="9">
        <f>F24/G24</f>
        <v>48.505215297584193</v>
      </c>
    </row>
    <row r="25" spans="1:10">
      <c r="A25" t="s">
        <v>17</v>
      </c>
      <c r="B25">
        <v>0.03</v>
      </c>
      <c r="C25" t="s">
        <v>18</v>
      </c>
      <c r="D25" s="7" t="s">
        <v>16</v>
      </c>
      <c r="E25">
        <v>3</v>
      </c>
      <c r="F25" s="8">
        <v>95996.964082495673</v>
      </c>
      <c r="G25" s="8">
        <v>2015.4453551755144</v>
      </c>
      <c r="H25" s="9">
        <f>F25/G25</f>
        <v>47.630645919514805</v>
      </c>
    </row>
    <row r="26" spans="1:10">
      <c r="A26" t="s">
        <v>17</v>
      </c>
      <c r="B26">
        <v>0.03</v>
      </c>
      <c r="C26" t="s">
        <v>18</v>
      </c>
      <c r="D26" s="7" t="s">
        <v>16</v>
      </c>
      <c r="E26">
        <v>4</v>
      </c>
      <c r="F26" s="8">
        <v>83572.264801298908</v>
      </c>
      <c r="G26" s="8">
        <v>2335.3688421141505</v>
      </c>
      <c r="H26" s="9">
        <f>F26/G26</f>
        <v>35.785467072363204</v>
      </c>
    </row>
    <row r="27" spans="1:10">
      <c r="A27" t="s">
        <v>17</v>
      </c>
      <c r="B27">
        <v>0.3</v>
      </c>
      <c r="C27" t="s">
        <v>18</v>
      </c>
      <c r="D27" s="7" t="s">
        <v>15</v>
      </c>
      <c r="E27">
        <v>1</v>
      </c>
      <c r="F27" s="8">
        <v>90426.705873655621</v>
      </c>
      <c r="G27" s="8">
        <v>2242.9301812996282</v>
      </c>
      <c r="H27" s="5">
        <f>F27/G27</f>
        <v>40.316326663926468</v>
      </c>
    </row>
    <row r="28" spans="1:10">
      <c r="A28" t="s">
        <v>17</v>
      </c>
      <c r="B28">
        <v>0.3</v>
      </c>
      <c r="C28" t="s">
        <v>18</v>
      </c>
      <c r="D28" s="7" t="s">
        <v>15</v>
      </c>
      <c r="E28">
        <v>2</v>
      </c>
      <c r="F28" s="8">
        <v>95312.329751855563</v>
      </c>
      <c r="G28" s="8">
        <v>2437.2542096433722</v>
      </c>
      <c r="H28" s="5">
        <f>F28/G28</f>
        <v>39.106437635736818</v>
      </c>
    </row>
    <row r="29" spans="1:10">
      <c r="A29" t="s">
        <v>17</v>
      </c>
      <c r="B29">
        <v>0.3</v>
      </c>
      <c r="C29" t="s">
        <v>18</v>
      </c>
      <c r="D29" s="7" t="s">
        <v>15</v>
      </c>
      <c r="E29">
        <v>3</v>
      </c>
      <c r="F29" s="8">
        <v>134334.11333125492</v>
      </c>
      <c r="G29" s="8">
        <v>3259.8572984356097</v>
      </c>
      <c r="H29" s="5">
        <f>F29/G29</f>
        <v>41.208587073956039</v>
      </c>
    </row>
    <row r="30" spans="1:10">
      <c r="A30" t="s">
        <v>17</v>
      </c>
      <c r="B30">
        <v>0.3</v>
      </c>
      <c r="C30" t="s">
        <v>18</v>
      </c>
      <c r="D30" s="7" t="s">
        <v>15</v>
      </c>
      <c r="E30">
        <v>4</v>
      </c>
      <c r="F30" s="8">
        <v>110847.38841975034</v>
      </c>
      <c r="G30" s="8">
        <v>2920.3770844351343</v>
      </c>
      <c r="H30" s="5">
        <f>F30/G30</f>
        <v>37.95653274042543</v>
      </c>
    </row>
    <row r="31" spans="1:10">
      <c r="A31" t="s">
        <v>17</v>
      </c>
      <c r="B31">
        <v>0.3</v>
      </c>
      <c r="C31" t="s">
        <v>18</v>
      </c>
      <c r="D31" s="7" t="s">
        <v>16</v>
      </c>
      <c r="E31">
        <v>1</v>
      </c>
      <c r="F31" s="8">
        <v>117512.33813444388</v>
      </c>
      <c r="G31" s="8">
        <v>2351.552899827876</v>
      </c>
      <c r="H31" s="9">
        <f>F31/G31</f>
        <v>49.972228199946215</v>
      </c>
      <c r="I31" s="5">
        <f>AVERAGE(H27:H34)</f>
        <v>42.241806136440687</v>
      </c>
      <c r="J31">
        <f>STDEV(H27:H34)/SQRT(COUNT(H27:H34))</f>
        <v>1.426576165221374</v>
      </c>
    </row>
    <row r="32" spans="1:10">
      <c r="A32" t="s">
        <v>17</v>
      </c>
      <c r="B32">
        <v>0.3</v>
      </c>
      <c r="C32" t="s">
        <v>18</v>
      </c>
      <c r="D32" s="7" t="s">
        <v>16</v>
      </c>
      <c r="E32">
        <v>2</v>
      </c>
      <c r="F32" s="8">
        <v>102535.66423344269</v>
      </c>
      <c r="G32" s="8">
        <v>2400.7811183965741</v>
      </c>
      <c r="H32" s="9">
        <f>F32/G32</f>
        <v>42.709293007903973</v>
      </c>
    </row>
    <row r="33" spans="1:10">
      <c r="A33" t="s">
        <v>17</v>
      </c>
      <c r="B33">
        <v>0.3</v>
      </c>
      <c r="C33" t="s">
        <v>18</v>
      </c>
      <c r="D33" s="7" t="s">
        <v>16</v>
      </c>
      <c r="E33">
        <v>3</v>
      </c>
      <c r="F33" s="8">
        <v>88055.962873981509</v>
      </c>
      <c r="G33" s="8">
        <v>1898.3546182011996</v>
      </c>
      <c r="H33" s="9">
        <f>F33/G33</f>
        <v>46.385412941139315</v>
      </c>
    </row>
    <row r="34" spans="1:10">
      <c r="A34" t="s">
        <v>17</v>
      </c>
      <c r="B34">
        <v>0.3</v>
      </c>
      <c r="C34" t="s">
        <v>18</v>
      </c>
      <c r="D34" s="7" t="s">
        <v>16</v>
      </c>
      <c r="E34">
        <v>4</v>
      </c>
      <c r="F34" s="8">
        <v>92991.269720226759</v>
      </c>
      <c r="G34" s="8">
        <v>2308.6425522661616</v>
      </c>
      <c r="H34" s="9">
        <f>F34/G34</f>
        <v>40.279630828491229</v>
      </c>
    </row>
    <row r="35" spans="1:10">
      <c r="A35" t="s">
        <v>17</v>
      </c>
      <c r="B35">
        <v>1</v>
      </c>
      <c r="C35" t="s">
        <v>18</v>
      </c>
      <c r="D35" s="7" t="s">
        <v>15</v>
      </c>
      <c r="E35">
        <v>1</v>
      </c>
      <c r="F35" s="8">
        <v>157305.32992130483</v>
      </c>
      <c r="G35" s="8">
        <v>3934.7819365110499</v>
      </c>
      <c r="H35" s="5">
        <f>F35/G35</f>
        <v>39.978156975272341</v>
      </c>
      <c r="I35" s="5">
        <f>AVERAGE(H35:H42)</f>
        <v>38.3773270455182</v>
      </c>
      <c r="J35">
        <f>STDEV(H35:H42)/SQRT(COUNT(H35:H42))</f>
        <v>1.9522122159518918</v>
      </c>
    </row>
    <row r="36" spans="1:10">
      <c r="A36" t="s">
        <v>17</v>
      </c>
      <c r="B36">
        <v>1</v>
      </c>
      <c r="C36" t="s">
        <v>18</v>
      </c>
      <c r="D36" s="7" t="s">
        <v>15</v>
      </c>
      <c r="E36">
        <v>2</v>
      </c>
      <c r="F36" s="8">
        <v>93583.747691981654</v>
      </c>
      <c r="G36" s="8">
        <v>2733.9032275556019</v>
      </c>
      <c r="H36" s="5">
        <f>F36/G36</f>
        <v>34.230819419184563</v>
      </c>
    </row>
    <row r="37" spans="1:10">
      <c r="A37" t="s">
        <v>17</v>
      </c>
      <c r="B37">
        <v>1</v>
      </c>
      <c r="C37" t="s">
        <v>18</v>
      </c>
      <c r="D37" s="7" t="s">
        <v>15</v>
      </c>
      <c r="E37">
        <v>3</v>
      </c>
      <c r="F37" s="8">
        <v>98639.941964658734</v>
      </c>
      <c r="G37" s="8">
        <v>3142.5247251510473</v>
      </c>
      <c r="H37" s="5">
        <f>F37/G37</f>
        <v>31.388756045481088</v>
      </c>
    </row>
    <row r="38" spans="1:10">
      <c r="A38" t="s">
        <v>17</v>
      </c>
      <c r="B38">
        <v>1</v>
      </c>
      <c r="C38" t="s">
        <v>18</v>
      </c>
      <c r="D38" s="7" t="s">
        <v>15</v>
      </c>
      <c r="E38">
        <v>4</v>
      </c>
      <c r="F38" s="8">
        <v>90220.063582802526</v>
      </c>
      <c r="G38" s="8">
        <v>2774.2851165548432</v>
      </c>
      <c r="H38" s="5">
        <f>F38/G38</f>
        <v>32.520112314497588</v>
      </c>
    </row>
    <row r="39" spans="1:10">
      <c r="A39" t="s">
        <v>17</v>
      </c>
      <c r="B39">
        <v>1</v>
      </c>
      <c r="C39" t="s">
        <v>18</v>
      </c>
      <c r="D39" s="7" t="s">
        <v>16</v>
      </c>
      <c r="E39">
        <v>1</v>
      </c>
      <c r="F39" s="8">
        <v>121586.56720774651</v>
      </c>
      <c r="G39" s="8">
        <v>3043.1793448002245</v>
      </c>
      <c r="H39" s="9">
        <f>F39/G39</f>
        <v>39.953796155818843</v>
      </c>
    </row>
    <row r="40" spans="1:10">
      <c r="A40" t="s">
        <v>17</v>
      </c>
      <c r="B40">
        <v>1</v>
      </c>
      <c r="C40" t="s">
        <v>18</v>
      </c>
      <c r="D40" s="7" t="s">
        <v>16</v>
      </c>
      <c r="E40">
        <v>2</v>
      </c>
      <c r="F40" s="8">
        <v>122975.79540647233</v>
      </c>
      <c r="G40" s="8">
        <v>2620.2536606855169</v>
      </c>
      <c r="H40" s="9">
        <f>F40/G40</f>
        <v>46.932782597200578</v>
      </c>
    </row>
    <row r="41" spans="1:10">
      <c r="A41" t="s">
        <v>17</v>
      </c>
      <c r="B41">
        <v>1</v>
      </c>
      <c r="C41" t="s">
        <v>18</v>
      </c>
      <c r="D41" s="7" t="s">
        <v>16</v>
      </c>
      <c r="E41">
        <v>3</v>
      </c>
      <c r="F41" s="8">
        <v>77888.098936095499</v>
      </c>
      <c r="G41" s="8">
        <v>2062.3795731421528</v>
      </c>
      <c r="H41" s="9">
        <f>F41/G41</f>
        <v>37.766131875243772</v>
      </c>
    </row>
    <row r="42" spans="1:10">
      <c r="A42" t="s">
        <v>17</v>
      </c>
      <c r="B42">
        <v>1</v>
      </c>
      <c r="C42" t="s">
        <v>18</v>
      </c>
      <c r="D42" s="7" t="s">
        <v>16</v>
      </c>
      <c r="E42">
        <v>4</v>
      </c>
      <c r="F42" s="8">
        <v>95996.964082495499</v>
      </c>
      <c r="G42" s="8">
        <v>2169.5179845902621</v>
      </c>
      <c r="H42" s="9">
        <f>F42/G42</f>
        <v>44.248060981446812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G43" sqref="G43"/>
    </sheetView>
  </sheetViews>
  <sheetFormatPr baseColWidth="10" defaultColWidth="8.83203125" defaultRowHeight="14" x14ac:dyDescent="0"/>
  <cols>
    <col min="3" max="3" width="5.83203125" customWidth="1"/>
    <col min="5" max="5" width="3.6640625" customWidth="1"/>
    <col min="6" max="6" width="15.33203125" customWidth="1"/>
    <col min="7" max="7" width="15" customWidth="1"/>
  </cols>
  <sheetData>
    <row r="1" spans="1:13" ht="18">
      <c r="A1" s="1"/>
      <c r="B1" s="1"/>
      <c r="C1" s="1"/>
      <c r="D1" s="1"/>
      <c r="E1" s="1"/>
      <c r="F1" s="1" t="s">
        <v>0</v>
      </c>
      <c r="G1" s="1" t="s">
        <v>2</v>
      </c>
      <c r="H1" s="3" t="s">
        <v>3</v>
      </c>
    </row>
    <row r="2" spans="1:13" ht="18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4" t="s">
        <v>10</v>
      </c>
      <c r="G2" s="4" t="s">
        <v>10</v>
      </c>
      <c r="H2" s="3" t="s">
        <v>2</v>
      </c>
      <c r="I2" s="6" t="s">
        <v>12</v>
      </c>
      <c r="J2" s="6" t="s">
        <v>13</v>
      </c>
      <c r="K2" s="6"/>
      <c r="L2" s="6"/>
    </row>
    <row r="3" spans="1:13">
      <c r="A3" t="s">
        <v>14</v>
      </c>
      <c r="D3" s="7" t="s">
        <v>15</v>
      </c>
      <c r="E3">
        <v>1</v>
      </c>
      <c r="F3" s="8">
        <v>143877.79011973363</v>
      </c>
      <c r="G3" s="8">
        <v>2815.2634776393788</v>
      </c>
      <c r="H3" s="5">
        <f>F3/G3</f>
        <v>51.106332058261316</v>
      </c>
    </row>
    <row r="4" spans="1:13">
      <c r="A4" t="s">
        <v>14</v>
      </c>
      <c r="D4" s="7" t="s">
        <v>15</v>
      </c>
      <c r="E4">
        <v>2</v>
      </c>
      <c r="F4" s="8">
        <v>182109.5222894928</v>
      </c>
      <c r="G4" s="8">
        <v>3204.5666530362382</v>
      </c>
      <c r="H4" s="5">
        <f>F4/G4</f>
        <v>56.828127483929556</v>
      </c>
      <c r="K4">
        <v>0</v>
      </c>
      <c r="L4">
        <f>46.3640271229262/46.3640271229262</f>
        <v>1</v>
      </c>
      <c r="M4">
        <f>1.11551560246203/100</f>
        <v>1.11551560246203E-2</v>
      </c>
    </row>
    <row r="5" spans="1:13">
      <c r="A5" t="s">
        <v>14</v>
      </c>
      <c r="D5" s="7" t="s">
        <v>15</v>
      </c>
      <c r="E5">
        <v>3</v>
      </c>
      <c r="F5" s="8">
        <v>179216.33203002441</v>
      </c>
      <c r="G5" s="8">
        <v>3490.7255842188442</v>
      </c>
      <c r="H5" s="5">
        <f>F5/G5</f>
        <v>51.340710607628445</v>
      </c>
      <c r="K5">
        <v>0.75</v>
      </c>
      <c r="L5">
        <f>47.1203769291248/46.3640271229262</f>
        <v>1.0163132897018041</v>
      </c>
      <c r="M5">
        <f>2.62934957679629/100</f>
        <v>2.6293495767962898E-2</v>
      </c>
    </row>
    <row r="6" spans="1:13">
      <c r="A6" t="s">
        <v>14</v>
      </c>
      <c r="D6" s="7" t="s">
        <v>15</v>
      </c>
      <c r="E6">
        <v>4</v>
      </c>
      <c r="F6" s="8">
        <v>156587.20594915198</v>
      </c>
      <c r="G6" s="8">
        <v>3324.2156883018515</v>
      </c>
      <c r="H6" s="5">
        <f>F6/G6</f>
        <v>47.105007806862034</v>
      </c>
      <c r="K6">
        <v>7.5</v>
      </c>
      <c r="L6">
        <f>41.753440687481/46.3640271229262</f>
        <v>0.90055681696456125</v>
      </c>
      <c r="M6">
        <f>1.21396032657152/100</f>
        <v>1.21396032657152E-2</v>
      </c>
    </row>
    <row r="7" spans="1:13">
      <c r="A7" t="s">
        <v>14</v>
      </c>
      <c r="D7" s="7" t="s">
        <v>15</v>
      </c>
      <c r="E7">
        <v>5</v>
      </c>
      <c r="F7" s="8">
        <v>123996.93777113699</v>
      </c>
      <c r="G7" s="8">
        <v>3157.9216798496905</v>
      </c>
      <c r="H7" s="5">
        <f>F7/G7</f>
        <v>39.265361950660839</v>
      </c>
      <c r="K7">
        <v>25</v>
      </c>
      <c r="L7">
        <f>39.4455491430369/46.3640271229262</f>
        <v>0.85077918357811855</v>
      </c>
      <c r="M7">
        <f>1.41349977166332/100</f>
        <v>1.4134997716633201E-2</v>
      </c>
    </row>
    <row r="8" spans="1:13">
      <c r="A8" t="s">
        <v>14</v>
      </c>
      <c r="D8" s="7" t="s">
        <v>15</v>
      </c>
      <c r="E8">
        <v>6</v>
      </c>
      <c r="F8" s="8">
        <v>151304.74644535652</v>
      </c>
      <c r="G8" s="8">
        <v>3173.3940726863675</v>
      </c>
      <c r="H8" s="5">
        <f>F8/G8</f>
        <v>47.679154551792806</v>
      </c>
    </row>
    <row r="9" spans="1:13">
      <c r="A9" t="s">
        <v>14</v>
      </c>
      <c r="D9" s="7" t="s">
        <v>15</v>
      </c>
      <c r="E9">
        <v>7</v>
      </c>
      <c r="F9" s="8">
        <v>96629.687358314361</v>
      </c>
      <c r="G9" s="8">
        <v>2204.8877009219523</v>
      </c>
      <c r="H9" s="5">
        <f>F9/G9</f>
        <v>43.825219451271643</v>
      </c>
    </row>
    <row r="10" spans="1:13">
      <c r="A10" t="s">
        <v>14</v>
      </c>
      <c r="D10" s="7" t="s">
        <v>15</v>
      </c>
      <c r="E10">
        <v>8</v>
      </c>
      <c r="F10" s="8">
        <v>143549.00189433133</v>
      </c>
      <c r="G10" s="8">
        <v>3236.0454448882001</v>
      </c>
      <c r="H10" s="5">
        <f>F10/G10</f>
        <v>44.359389983563936</v>
      </c>
    </row>
    <row r="11" spans="1:13">
      <c r="A11" t="s">
        <v>14</v>
      </c>
      <c r="D11" s="7" t="s">
        <v>16</v>
      </c>
      <c r="E11">
        <v>1</v>
      </c>
      <c r="F11" s="8">
        <v>83952.916683092437</v>
      </c>
      <c r="G11" s="8">
        <v>1825.4984668478735</v>
      </c>
      <c r="H11" s="9">
        <f>F11/G11</f>
        <v>45.989037080954496</v>
      </c>
    </row>
    <row r="12" spans="1:13">
      <c r="A12" t="s">
        <v>14</v>
      </c>
      <c r="D12" s="7" t="s">
        <v>16</v>
      </c>
      <c r="E12">
        <v>2</v>
      </c>
      <c r="F12" s="8">
        <v>90284.597321467634</v>
      </c>
      <c r="G12" s="8">
        <v>2091.0631135889153</v>
      </c>
      <c r="H12" s="9">
        <f>F12/G12</f>
        <v>43.176409518558799</v>
      </c>
      <c r="I12" s="5">
        <f>AVERAGE(H3:H18)</f>
        <v>46.364027122926238</v>
      </c>
      <c r="J12">
        <f>STDEV(H3:H18)/SQRT(COUNT(H3:H18))</f>
        <v>1.1155156024620316</v>
      </c>
    </row>
    <row r="13" spans="1:13">
      <c r="A13" t="s">
        <v>14</v>
      </c>
      <c r="D13" s="7" t="s">
        <v>16</v>
      </c>
      <c r="E13">
        <v>3</v>
      </c>
      <c r="F13" s="8">
        <v>88256.27207540386</v>
      </c>
      <c r="G13" s="8">
        <v>1969.5792339088337</v>
      </c>
      <c r="H13" s="9">
        <f>F13/G13</f>
        <v>44.809708873834012</v>
      </c>
    </row>
    <row r="14" spans="1:13">
      <c r="A14" t="s">
        <v>14</v>
      </c>
      <c r="D14" s="7" t="s">
        <v>16</v>
      </c>
      <c r="E14">
        <v>4</v>
      </c>
      <c r="F14" s="8">
        <v>74766.757825276742</v>
      </c>
      <c r="G14" s="8">
        <v>1630.7724836544246</v>
      </c>
      <c r="H14" s="9">
        <f>F14/G14</f>
        <v>45.847448724257781</v>
      </c>
    </row>
    <row r="15" spans="1:13">
      <c r="A15" t="s">
        <v>14</v>
      </c>
      <c r="D15" s="7" t="s">
        <v>16</v>
      </c>
      <c r="E15">
        <v>5</v>
      </c>
      <c r="F15" s="8">
        <v>96434.207528169616</v>
      </c>
      <c r="G15" s="8">
        <v>2024.7459633287353</v>
      </c>
      <c r="H15" s="9">
        <f>F15/G15</f>
        <v>47.627805796253696</v>
      </c>
    </row>
    <row r="16" spans="1:13">
      <c r="A16" t="s">
        <v>14</v>
      </c>
      <c r="D16" s="7" t="s">
        <v>16</v>
      </c>
      <c r="E16">
        <v>6</v>
      </c>
      <c r="F16" s="8">
        <v>79678.140524358125</v>
      </c>
      <c r="G16" s="8">
        <v>1821.3009555542078</v>
      </c>
      <c r="H16" s="9">
        <f>F16/G16</f>
        <v>43.747926602340513</v>
      </c>
    </row>
    <row r="17" spans="1:10">
      <c r="A17" t="s">
        <v>14</v>
      </c>
      <c r="D17" s="7" t="s">
        <v>16</v>
      </c>
      <c r="E17">
        <v>7</v>
      </c>
      <c r="F17" s="8">
        <v>146488.62596872199</v>
      </c>
      <c r="G17" s="8">
        <v>2953.4573608549399</v>
      </c>
      <c r="H17" s="9">
        <f>F17/G17</f>
        <v>49.599031938053031</v>
      </c>
    </row>
    <row r="18" spans="1:10">
      <c r="A18" t="s">
        <v>14</v>
      </c>
      <c r="D18" s="7" t="s">
        <v>16</v>
      </c>
      <c r="E18">
        <v>8</v>
      </c>
      <c r="F18" s="8">
        <v>116714.02370067945</v>
      </c>
      <c r="G18" s="8">
        <v>2953.4573608549399</v>
      </c>
      <c r="H18" s="9">
        <f>F18/G18</f>
        <v>39.517761538596964</v>
      </c>
    </row>
    <row r="19" spans="1:10">
      <c r="A19" t="s">
        <v>19</v>
      </c>
      <c r="B19">
        <v>0.75</v>
      </c>
      <c r="C19" t="s">
        <v>18</v>
      </c>
      <c r="D19" s="7" t="s">
        <v>15</v>
      </c>
      <c r="E19">
        <v>1</v>
      </c>
      <c r="F19" s="8">
        <v>93798.094249074536</v>
      </c>
      <c r="G19" s="8">
        <v>2226.5465423532928</v>
      </c>
      <c r="H19" s="5">
        <v>42.127165305036463</v>
      </c>
    </row>
    <row r="20" spans="1:10">
      <c r="A20" t="s">
        <v>19</v>
      </c>
      <c r="B20">
        <v>0.75</v>
      </c>
      <c r="C20" t="s">
        <v>18</v>
      </c>
      <c r="D20" s="7" t="s">
        <v>15</v>
      </c>
      <c r="E20">
        <v>2</v>
      </c>
      <c r="F20" s="8">
        <v>161314.28763359849</v>
      </c>
      <c r="G20" s="8">
        <v>3983.1558322580372</v>
      </c>
      <c r="H20" s="5">
        <v>40.499115381621912</v>
      </c>
    </row>
    <row r="21" spans="1:10">
      <c r="A21" t="s">
        <v>19</v>
      </c>
      <c r="B21">
        <v>0.75</v>
      </c>
      <c r="C21" t="s">
        <v>18</v>
      </c>
      <c r="D21" s="7" t="s">
        <v>15</v>
      </c>
      <c r="E21">
        <v>3</v>
      </c>
      <c r="F21" s="8">
        <v>148560.68729833784</v>
      </c>
      <c r="G21" s="8">
        <v>3022.0210976420085</v>
      </c>
      <c r="H21" s="5">
        <v>49.159381254570079</v>
      </c>
      <c r="I21" s="5">
        <f>AVERAGE(H19:H26)</f>
        <v>47.120376929124767</v>
      </c>
      <c r="J21">
        <f>STDEV(H19:H26)/SQRT(COUNT(H19:H26))</f>
        <v>2.6293495767962929</v>
      </c>
    </row>
    <row r="22" spans="1:10">
      <c r="A22" t="s">
        <v>19</v>
      </c>
      <c r="B22">
        <v>0.75</v>
      </c>
      <c r="C22" t="s">
        <v>18</v>
      </c>
      <c r="D22" s="7" t="s">
        <v>15</v>
      </c>
      <c r="E22">
        <v>4</v>
      </c>
      <c r="F22" s="8">
        <v>127886.38477735288</v>
      </c>
      <c r="G22" s="8">
        <v>2970.7644070564206</v>
      </c>
      <c r="H22" s="5">
        <v>43.04830920741675</v>
      </c>
    </row>
    <row r="23" spans="1:10">
      <c r="A23" t="s">
        <v>19</v>
      </c>
      <c r="B23">
        <v>0.75</v>
      </c>
      <c r="C23" t="s">
        <v>18</v>
      </c>
      <c r="D23" s="7" t="s">
        <v>16</v>
      </c>
      <c r="E23">
        <v>1</v>
      </c>
      <c r="F23" s="8">
        <v>99551.185657077178</v>
      </c>
      <c r="G23" s="8">
        <v>1642.0737031952085</v>
      </c>
      <c r="H23" s="9">
        <v>60.625284640614339</v>
      </c>
      <c r="I23" s="5"/>
    </row>
    <row r="24" spans="1:10">
      <c r="A24" t="s">
        <v>19</v>
      </c>
      <c r="B24">
        <v>0.75</v>
      </c>
      <c r="C24" t="s">
        <v>18</v>
      </c>
      <c r="D24" s="7" t="s">
        <v>16</v>
      </c>
      <c r="E24">
        <v>2</v>
      </c>
      <c r="F24" s="8">
        <v>94697.092893648514</v>
      </c>
      <c r="G24" s="8">
        <v>2115.2705677958702</v>
      </c>
      <c r="H24" s="9">
        <v>44.768312070981864</v>
      </c>
    </row>
    <row r="25" spans="1:10">
      <c r="A25" t="s">
        <v>19</v>
      </c>
      <c r="B25">
        <v>0.75</v>
      </c>
      <c r="C25" t="s">
        <v>18</v>
      </c>
      <c r="D25" s="7" t="s">
        <v>16</v>
      </c>
      <c r="E25">
        <v>3</v>
      </c>
      <c r="F25" s="8">
        <v>49781.709027020821</v>
      </c>
      <c r="G25" s="8">
        <v>894.24552023851072</v>
      </c>
      <c r="H25" s="9">
        <v>55.668949858136479</v>
      </c>
    </row>
    <row r="26" spans="1:10">
      <c r="A26" t="s">
        <v>19</v>
      </c>
      <c r="B26">
        <v>0.75</v>
      </c>
      <c r="C26" t="s">
        <v>18</v>
      </c>
      <c r="D26" s="7" t="s">
        <v>16</v>
      </c>
      <c r="E26">
        <v>4</v>
      </c>
      <c r="F26" s="8">
        <v>103236.99984109087</v>
      </c>
      <c r="G26" s="8">
        <v>2513.8983255525345</v>
      </c>
      <c r="H26" s="9">
        <v>41.066497714620269</v>
      </c>
    </row>
    <row r="27" spans="1:10">
      <c r="A27" t="s">
        <v>19</v>
      </c>
      <c r="B27">
        <v>7.5</v>
      </c>
      <c r="C27" t="s">
        <v>18</v>
      </c>
      <c r="D27" s="7" t="s">
        <v>15</v>
      </c>
      <c r="E27">
        <v>1</v>
      </c>
      <c r="F27" s="8">
        <v>165425.4144328961</v>
      </c>
      <c r="G27" s="8">
        <v>3849.184582244271</v>
      </c>
      <c r="H27" s="5">
        <v>42.976742449811184</v>
      </c>
    </row>
    <row r="28" spans="1:10">
      <c r="A28" t="s">
        <v>19</v>
      </c>
      <c r="B28">
        <v>7.5</v>
      </c>
      <c r="C28" t="s">
        <v>18</v>
      </c>
      <c r="D28" s="7" t="s">
        <v>15</v>
      </c>
      <c r="E28">
        <v>2</v>
      </c>
      <c r="F28" s="8">
        <v>87176.495435474033</v>
      </c>
      <c r="G28" s="8">
        <v>2355.2785082603586</v>
      </c>
      <c r="H28" s="5">
        <v>37.013242862672662</v>
      </c>
    </row>
    <row r="29" spans="1:10">
      <c r="A29" t="s">
        <v>19</v>
      </c>
      <c r="B29">
        <v>7.5</v>
      </c>
      <c r="C29" t="s">
        <v>18</v>
      </c>
      <c r="D29" s="7" t="s">
        <v>15</v>
      </c>
      <c r="E29">
        <v>3</v>
      </c>
      <c r="F29" s="8">
        <v>155516.16221888826</v>
      </c>
      <c r="G29" s="8">
        <v>3439.9153440501109</v>
      </c>
      <c r="H29" s="5">
        <v>45.20929926019214</v>
      </c>
    </row>
    <row r="30" spans="1:10">
      <c r="A30" t="s">
        <v>19</v>
      </c>
      <c r="B30">
        <v>7.5</v>
      </c>
      <c r="C30" t="s">
        <v>18</v>
      </c>
      <c r="D30" s="7" t="s">
        <v>15</v>
      </c>
      <c r="E30">
        <v>4</v>
      </c>
      <c r="F30" s="8">
        <v>159479.52263538286</v>
      </c>
      <c r="G30" s="8">
        <v>3656.6289861359414</v>
      </c>
      <c r="H30" s="5">
        <v>43.613810217018809</v>
      </c>
    </row>
    <row r="31" spans="1:10">
      <c r="A31" t="s">
        <v>19</v>
      </c>
      <c r="B31">
        <v>7.5</v>
      </c>
      <c r="C31" t="s">
        <v>18</v>
      </c>
      <c r="D31" s="7" t="s">
        <v>16</v>
      </c>
      <c r="E31">
        <v>1</v>
      </c>
      <c r="F31" s="8">
        <v>105849.85564996181</v>
      </c>
      <c r="G31" s="8">
        <v>2502.3508111055571</v>
      </c>
      <c r="H31" s="9">
        <v>42.300166379627868</v>
      </c>
      <c r="I31" s="5">
        <f>AVERAGE(H27:H34)</f>
        <v>41.753440687481039</v>
      </c>
      <c r="J31">
        <f>STDEV(H27:H34)/SQRT(COUNT(H27:H34))</f>
        <v>1.213960326571522</v>
      </c>
    </row>
    <row r="32" spans="1:10">
      <c r="A32" t="s">
        <v>19</v>
      </c>
      <c r="B32">
        <v>7.5</v>
      </c>
      <c r="C32" t="s">
        <v>18</v>
      </c>
      <c r="D32" s="7" t="s">
        <v>16</v>
      </c>
      <c r="E32">
        <v>2</v>
      </c>
      <c r="F32" s="8">
        <v>120486.49270868771</v>
      </c>
      <c r="G32" s="8">
        <v>2687.4516799849275</v>
      </c>
      <c r="H32" s="9">
        <v>44.832989410013674</v>
      </c>
    </row>
    <row r="33" spans="1:10">
      <c r="A33" t="s">
        <v>19</v>
      </c>
      <c r="B33">
        <v>7.5</v>
      </c>
      <c r="C33" t="s">
        <v>18</v>
      </c>
      <c r="D33" s="7" t="s">
        <v>16</v>
      </c>
      <c r="E33">
        <v>3</v>
      </c>
      <c r="F33" s="8">
        <v>128693.26315805705</v>
      </c>
      <c r="G33" s="8">
        <v>3057.2226025612463</v>
      </c>
      <c r="H33" s="9">
        <v>42.094829159722231</v>
      </c>
    </row>
    <row r="34" spans="1:10">
      <c r="A34" t="s">
        <v>19</v>
      </c>
      <c r="B34">
        <v>7.5</v>
      </c>
      <c r="C34" t="s">
        <v>18</v>
      </c>
      <c r="D34" s="7" t="s">
        <v>16</v>
      </c>
      <c r="E34">
        <v>4</v>
      </c>
      <c r="F34" s="8">
        <v>110018.57536573075</v>
      </c>
      <c r="G34" s="8">
        <v>3057.2226025612463</v>
      </c>
      <c r="H34" s="9">
        <v>35.986445760789742</v>
      </c>
    </row>
    <row r="35" spans="1:10">
      <c r="A35" t="s">
        <v>19</v>
      </c>
      <c r="B35">
        <v>25</v>
      </c>
      <c r="C35" t="s">
        <v>18</v>
      </c>
      <c r="D35" s="7" t="s">
        <v>15</v>
      </c>
      <c r="E35">
        <v>1</v>
      </c>
      <c r="F35" s="8">
        <v>100922.64481164402</v>
      </c>
      <c r="G35" s="8">
        <v>2674.4298216906709</v>
      </c>
      <c r="H35" s="5">
        <v>37.736135004598708</v>
      </c>
      <c r="I35" s="5"/>
    </row>
    <row r="36" spans="1:10">
      <c r="A36" t="s">
        <v>19</v>
      </c>
      <c r="B36">
        <v>25</v>
      </c>
      <c r="C36" t="s">
        <v>18</v>
      </c>
      <c r="D36" s="7" t="s">
        <v>15</v>
      </c>
      <c r="E36">
        <v>2</v>
      </c>
      <c r="F36" s="8">
        <v>160577.86212876375</v>
      </c>
      <c r="G36" s="8">
        <v>3868.0438517243801</v>
      </c>
      <c r="H36" s="5">
        <v>41.513971476093239</v>
      </c>
    </row>
    <row r="37" spans="1:10">
      <c r="A37" t="s">
        <v>19</v>
      </c>
      <c r="B37">
        <v>25</v>
      </c>
      <c r="C37" t="s">
        <v>18</v>
      </c>
      <c r="D37" s="7" t="s">
        <v>15</v>
      </c>
      <c r="E37">
        <v>3</v>
      </c>
      <c r="F37" s="8">
        <v>143877.79011973363</v>
      </c>
      <c r="G37" s="8">
        <v>3365.0833312210921</v>
      </c>
      <c r="H37" s="5">
        <v>42.756085350054171</v>
      </c>
    </row>
    <row r="38" spans="1:10">
      <c r="A38" t="s">
        <v>19</v>
      </c>
      <c r="B38">
        <v>25</v>
      </c>
      <c r="C38" t="s">
        <v>18</v>
      </c>
      <c r="D38" s="7" t="s">
        <v>15</v>
      </c>
      <c r="E38">
        <v>4</v>
      </c>
      <c r="F38" s="8">
        <v>114193.66857330127</v>
      </c>
      <c r="G38" s="8">
        <v>3089.2241649331413</v>
      </c>
      <c r="H38" s="5">
        <v>36.965160984286392</v>
      </c>
      <c r="I38" s="5">
        <f>AVERAGE(H35:H42)</f>
        <v>39.445549143036914</v>
      </c>
      <c r="J38">
        <f>STDEV(H35:H42)/SQRT(COUNT(H35:H42))</f>
        <v>1.4134997716633206</v>
      </c>
    </row>
    <row r="39" spans="1:10">
      <c r="A39" t="s">
        <v>19</v>
      </c>
      <c r="B39">
        <v>25</v>
      </c>
      <c r="C39" t="s">
        <v>18</v>
      </c>
      <c r="D39" s="7" t="s">
        <v>16</v>
      </c>
      <c r="E39">
        <v>1</v>
      </c>
      <c r="F39" s="8">
        <v>157895.07741180059</v>
      </c>
      <c r="G39" s="8">
        <v>3344.395176754344</v>
      </c>
      <c r="H39" s="9">
        <v>47.211848201812685</v>
      </c>
    </row>
    <row r="40" spans="1:10">
      <c r="A40" t="s">
        <v>19</v>
      </c>
      <c r="B40">
        <v>25</v>
      </c>
      <c r="C40" t="s">
        <v>18</v>
      </c>
      <c r="D40" s="7" t="s">
        <v>16</v>
      </c>
      <c r="E40">
        <v>2</v>
      </c>
      <c r="F40" s="8">
        <v>84719.429681258873</v>
      </c>
      <c r="G40" s="8">
        <v>2287.4819077671723</v>
      </c>
      <c r="H40" s="9">
        <v>37.036109179090346</v>
      </c>
    </row>
    <row r="41" spans="1:10">
      <c r="A41" t="s">
        <v>19</v>
      </c>
      <c r="B41">
        <v>25</v>
      </c>
      <c r="C41" t="s">
        <v>18</v>
      </c>
      <c r="D41" s="7" t="s">
        <v>16</v>
      </c>
      <c r="E41">
        <v>3</v>
      </c>
      <c r="F41" s="8">
        <v>97757.923432795185</v>
      </c>
      <c r="G41" s="8">
        <v>2693.6453893460921</v>
      </c>
      <c r="H41" s="9">
        <v>36.292053816529595</v>
      </c>
    </row>
    <row r="42" spans="1:10">
      <c r="A42" t="s">
        <v>19</v>
      </c>
      <c r="B42">
        <v>25</v>
      </c>
      <c r="C42" t="s">
        <v>18</v>
      </c>
      <c r="D42" s="7" t="s">
        <v>16</v>
      </c>
      <c r="E42">
        <v>4</v>
      </c>
      <c r="F42" s="8">
        <v>95561.703147340566</v>
      </c>
      <c r="G42" s="8">
        <v>2650.5873555842745</v>
      </c>
      <c r="H42" s="9">
        <v>36.053029131830179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S18" sqref="S18"/>
    </sheetView>
  </sheetViews>
  <sheetFormatPr baseColWidth="10" defaultColWidth="8.83203125" defaultRowHeight="14" x14ac:dyDescent="0"/>
  <cols>
    <col min="2" max="2" width="7.83203125" customWidth="1"/>
    <col min="3" max="3" width="4.5" customWidth="1"/>
    <col min="4" max="4" width="9.1640625" customWidth="1"/>
    <col min="5" max="5" width="6.1640625" customWidth="1"/>
    <col min="6" max="6" width="14.5" style="16" customWidth="1"/>
    <col min="7" max="7" width="15.5" style="16" customWidth="1"/>
    <col min="8" max="8" width="8.83203125" style="12"/>
  </cols>
  <sheetData>
    <row r="1" spans="1:13" ht="18">
      <c r="A1" s="1"/>
      <c r="B1" s="1"/>
      <c r="C1" s="1"/>
      <c r="D1" s="1"/>
      <c r="E1" s="1"/>
      <c r="F1" s="13" t="s">
        <v>0</v>
      </c>
      <c r="G1" s="13" t="s">
        <v>2</v>
      </c>
      <c r="H1" s="10" t="s">
        <v>3</v>
      </c>
    </row>
    <row r="2" spans="1:13" ht="18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4" t="s">
        <v>10</v>
      </c>
      <c r="G2" s="14" t="s">
        <v>10</v>
      </c>
      <c r="H2" s="10" t="s">
        <v>2</v>
      </c>
      <c r="I2" s="6" t="s">
        <v>12</v>
      </c>
      <c r="J2" s="6" t="s">
        <v>13</v>
      </c>
      <c r="K2" s="6"/>
      <c r="L2" s="6"/>
    </row>
    <row r="3" spans="1:13">
      <c r="A3" t="s">
        <v>14</v>
      </c>
      <c r="D3" s="7">
        <v>40904</v>
      </c>
      <c r="E3">
        <v>1</v>
      </c>
      <c r="F3" s="15">
        <v>161255.45518283348</v>
      </c>
      <c r="G3" s="15">
        <v>3521.2800385736946</v>
      </c>
      <c r="H3" s="11">
        <f>F3/G3</f>
        <v>45.794555791180557</v>
      </c>
    </row>
    <row r="4" spans="1:13">
      <c r="A4" t="s">
        <v>14</v>
      </c>
      <c r="D4" s="7">
        <v>40904</v>
      </c>
      <c r="E4">
        <v>2</v>
      </c>
      <c r="F4" s="15">
        <v>186234.82338117575</v>
      </c>
      <c r="G4" s="15">
        <v>3917.8063316965631</v>
      </c>
      <c r="H4" s="11">
        <f>F4/G4</f>
        <v>47.535484813137458</v>
      </c>
    </row>
    <row r="5" spans="1:13">
      <c r="A5" t="s">
        <v>14</v>
      </c>
      <c r="D5" s="7">
        <v>40904</v>
      </c>
      <c r="E5">
        <v>3</v>
      </c>
      <c r="F5" s="15">
        <v>95727.263434202439</v>
      </c>
      <c r="G5" s="15">
        <v>2195.1790066766839</v>
      </c>
      <c r="H5" s="11">
        <f>F5/G5</f>
        <v>43.607953220692217</v>
      </c>
      <c r="K5">
        <v>0</v>
      </c>
      <c r="L5">
        <f>52.3803721960371/52.3803721960371</f>
        <v>1</v>
      </c>
      <c r="M5">
        <f>2.07596706120008/100</f>
        <v>2.0759670612000802E-2</v>
      </c>
    </row>
    <row r="6" spans="1:13">
      <c r="A6" t="s">
        <v>14</v>
      </c>
      <c r="D6" s="7">
        <v>40904</v>
      </c>
      <c r="E6">
        <v>4</v>
      </c>
      <c r="F6" s="15">
        <v>181747.45704844521</v>
      </c>
      <c r="G6" s="15">
        <v>2822.9656617766304</v>
      </c>
      <c r="H6" s="11">
        <f>F6/G6</f>
        <v>64.381745590933846</v>
      </c>
      <c r="K6">
        <v>0.6</v>
      </c>
      <c r="L6">
        <f>50.3900699908701/52.3803721960371</f>
        <v>0.96200290067206551</v>
      </c>
      <c r="M6">
        <f>8.80529599712517/100</f>
        <v>8.805295997125169E-2</v>
      </c>
    </row>
    <row r="7" spans="1:13">
      <c r="A7" t="s">
        <v>14</v>
      </c>
      <c r="D7" s="7">
        <v>40904</v>
      </c>
      <c r="E7">
        <v>5</v>
      </c>
      <c r="F7" s="15"/>
      <c r="G7" s="15"/>
      <c r="H7" s="11"/>
      <c r="K7">
        <v>6</v>
      </c>
      <c r="L7">
        <f>42.1376903214058/52.3803721960371</f>
        <v>0.80445572558558065</v>
      </c>
      <c r="M7">
        <f>3.71515931102566/100</f>
        <v>3.7151593110256599E-2</v>
      </c>
    </row>
    <row r="8" spans="1:13">
      <c r="A8" t="s">
        <v>14</v>
      </c>
      <c r="D8" s="7">
        <v>40904</v>
      </c>
      <c r="E8">
        <v>6</v>
      </c>
      <c r="F8" s="15">
        <v>94731.841635135308</v>
      </c>
      <c r="G8" s="15">
        <v>1943.1539020144396</v>
      </c>
      <c r="H8" s="11">
        <f>F8/G8</f>
        <v>48.751589638333932</v>
      </c>
      <c r="K8">
        <v>20</v>
      </c>
      <c r="L8">
        <f>40.4381031768788/52.3803721960371</f>
        <v>0.77200870252575626</v>
      </c>
      <c r="M8">
        <f>3.68500330991431/100</f>
        <v>3.6850033099143101E-2</v>
      </c>
    </row>
    <row r="9" spans="1:13">
      <c r="A9" t="s">
        <v>14</v>
      </c>
      <c r="D9" s="7">
        <v>40546</v>
      </c>
      <c r="E9">
        <v>1</v>
      </c>
      <c r="F9" s="15">
        <v>168942.54514058062</v>
      </c>
      <c r="G9" s="15">
        <v>2600.6536890582433</v>
      </c>
      <c r="H9" s="12">
        <f>F9/G9</f>
        <v>64.961569412865046</v>
      </c>
    </row>
    <row r="10" spans="1:13">
      <c r="A10" t="s">
        <v>14</v>
      </c>
      <c r="D10" s="7">
        <v>40546</v>
      </c>
      <c r="E10">
        <v>2</v>
      </c>
      <c r="F10" s="15">
        <v>232848.74322676918</v>
      </c>
      <c r="G10" s="15">
        <v>4182.5870915914475</v>
      </c>
      <c r="H10" s="12">
        <f>F10/G10</f>
        <v>55.670984997510651</v>
      </c>
    </row>
    <row r="11" spans="1:13">
      <c r="A11" t="s">
        <v>14</v>
      </c>
      <c r="D11" s="7">
        <v>40546</v>
      </c>
      <c r="E11">
        <v>3</v>
      </c>
      <c r="F11" s="15">
        <v>242376.63762806341</v>
      </c>
      <c r="G11" s="15">
        <v>4273.4435228224838</v>
      </c>
      <c r="H11" s="12">
        <f>F11/G11</f>
        <v>56.716939473668475</v>
      </c>
    </row>
    <row r="12" spans="1:13">
      <c r="A12" t="s">
        <v>14</v>
      </c>
      <c r="D12" s="7">
        <v>40546</v>
      </c>
      <c r="E12">
        <v>4</v>
      </c>
      <c r="F12" s="15">
        <v>261999.19187618885</v>
      </c>
      <c r="G12" s="15">
        <v>3810.6766330540017</v>
      </c>
      <c r="H12" s="12">
        <f>F12/G12</f>
        <v>68.75398180039592</v>
      </c>
      <c r="I12" s="5">
        <f>AVERAGE(H3:H24)</f>
        <v>52.380372196037115</v>
      </c>
      <c r="J12">
        <f>STDEV(H3:H24)/SQRT(COUNT(H3:H24))</f>
        <v>2.0759670612000769</v>
      </c>
    </row>
    <row r="13" spans="1:13">
      <c r="A13" t="s">
        <v>14</v>
      </c>
      <c r="D13" s="7">
        <v>40546</v>
      </c>
      <c r="E13">
        <v>5</v>
      </c>
      <c r="F13" s="15">
        <v>175441.1113367728</v>
      </c>
      <c r="G13" s="15">
        <v>3015.6182196257218</v>
      </c>
      <c r="H13" s="12">
        <f>F13/G13</f>
        <v>58.177494151944529</v>
      </c>
    </row>
    <row r="14" spans="1:13">
      <c r="A14" t="s">
        <v>14</v>
      </c>
      <c r="D14" s="7">
        <v>40546</v>
      </c>
      <c r="E14">
        <v>6</v>
      </c>
      <c r="F14" s="15">
        <v>179841.05474239806</v>
      </c>
      <c r="G14" s="15">
        <v>3940.2162660552608</v>
      </c>
      <c r="H14" s="12">
        <f>F14/G14</f>
        <v>45.642432445071236</v>
      </c>
    </row>
    <row r="15" spans="1:13">
      <c r="A15" t="s">
        <v>14</v>
      </c>
      <c r="D15" s="7">
        <v>40546</v>
      </c>
      <c r="E15">
        <v>7</v>
      </c>
      <c r="F15" s="15">
        <v>236167.98525265508</v>
      </c>
      <c r="G15" s="15">
        <v>3148.0549937318237</v>
      </c>
      <c r="H15" s="12">
        <f>F15/G15</f>
        <v>75.020285771022259</v>
      </c>
    </row>
    <row r="16" spans="1:13">
      <c r="A16" t="s">
        <v>14</v>
      </c>
      <c r="D16" s="7">
        <v>40546</v>
      </c>
      <c r="E16">
        <v>8</v>
      </c>
      <c r="F16" s="15">
        <v>99597.01276786768</v>
      </c>
      <c r="G16" s="15">
        <v>2291.5095185495666</v>
      </c>
      <c r="H16" s="12">
        <f>F16/G16</f>
        <v>43.46349511605284</v>
      </c>
    </row>
    <row r="17" spans="1:12">
      <c r="A17" t="s">
        <v>14</v>
      </c>
      <c r="D17" s="7" t="s">
        <v>15</v>
      </c>
      <c r="E17">
        <v>1</v>
      </c>
      <c r="F17" s="15">
        <v>143877.79011973363</v>
      </c>
      <c r="G17" s="15">
        <v>2815.2634776393788</v>
      </c>
      <c r="H17" s="12">
        <f>F17/G17</f>
        <v>51.106332058261316</v>
      </c>
      <c r="J17" s="5"/>
      <c r="K17" s="5"/>
      <c r="L17" s="5"/>
    </row>
    <row r="18" spans="1:12">
      <c r="A18" t="s">
        <v>14</v>
      </c>
      <c r="D18" s="7" t="s">
        <v>15</v>
      </c>
      <c r="E18">
        <v>2</v>
      </c>
      <c r="F18" s="15">
        <v>182109.5222894928</v>
      </c>
      <c r="G18" s="15">
        <v>3204.5666530362382</v>
      </c>
      <c r="H18" s="12">
        <f>F18/G18</f>
        <v>56.828127483929556</v>
      </c>
    </row>
    <row r="19" spans="1:12">
      <c r="A19" t="s">
        <v>14</v>
      </c>
      <c r="D19" s="7" t="s">
        <v>15</v>
      </c>
      <c r="E19">
        <v>3</v>
      </c>
      <c r="F19" s="15">
        <v>179216.33203002441</v>
      </c>
      <c r="G19" s="15">
        <v>3490.7255842188442</v>
      </c>
      <c r="H19" s="12">
        <f>F19/G19</f>
        <v>51.340710607628445</v>
      </c>
    </row>
    <row r="20" spans="1:12">
      <c r="A20" t="s">
        <v>14</v>
      </c>
      <c r="D20" s="7" t="s">
        <v>15</v>
      </c>
      <c r="E20">
        <v>4</v>
      </c>
      <c r="F20" s="15">
        <v>156587.20594915198</v>
      </c>
      <c r="G20" s="15">
        <v>3324.2156883018515</v>
      </c>
      <c r="H20" s="12">
        <f>F20/G20</f>
        <v>47.105007806862034</v>
      </c>
    </row>
    <row r="21" spans="1:12">
      <c r="A21" t="s">
        <v>14</v>
      </c>
      <c r="D21" s="7" t="s">
        <v>15</v>
      </c>
      <c r="E21">
        <v>5</v>
      </c>
      <c r="F21" s="15">
        <v>123996.93777113699</v>
      </c>
      <c r="G21" s="15">
        <v>3157.9216798496905</v>
      </c>
      <c r="H21" s="12">
        <f>F21/G21</f>
        <v>39.265361950660839</v>
      </c>
    </row>
    <row r="22" spans="1:12">
      <c r="A22" t="s">
        <v>14</v>
      </c>
      <c r="D22" s="7" t="s">
        <v>15</v>
      </c>
      <c r="E22">
        <v>6</v>
      </c>
      <c r="F22" s="15">
        <v>151304.74644535652</v>
      </c>
      <c r="G22" s="15">
        <v>3173.3940726863675</v>
      </c>
      <c r="H22" s="12">
        <f>F22/G22</f>
        <v>47.679154551792806</v>
      </c>
    </row>
    <row r="23" spans="1:12">
      <c r="A23" t="s">
        <v>14</v>
      </c>
      <c r="D23" s="7" t="s">
        <v>15</v>
      </c>
      <c r="E23">
        <v>7</v>
      </c>
      <c r="F23" s="15">
        <v>96629.687358314361</v>
      </c>
      <c r="G23" s="15">
        <v>2204.8877009219523</v>
      </c>
      <c r="H23" s="12">
        <f>F23/G23</f>
        <v>43.825219451271643</v>
      </c>
    </row>
    <row r="24" spans="1:12">
      <c r="A24" t="s">
        <v>14</v>
      </c>
      <c r="D24" s="7" t="s">
        <v>15</v>
      </c>
      <c r="E24">
        <v>8</v>
      </c>
      <c r="F24" s="15">
        <v>143549.00189433133</v>
      </c>
      <c r="G24" s="15">
        <v>3236.0454448882001</v>
      </c>
      <c r="H24" s="12">
        <f>F24/G24</f>
        <v>44.359389983563936</v>
      </c>
    </row>
    <row r="25" spans="1:12">
      <c r="A25" t="s">
        <v>20</v>
      </c>
      <c r="B25">
        <v>0.6</v>
      </c>
      <c r="C25" t="s">
        <v>18</v>
      </c>
      <c r="D25" s="7">
        <v>40904</v>
      </c>
      <c r="E25">
        <v>1</v>
      </c>
      <c r="F25" s="15">
        <v>79585.678053410738</v>
      </c>
      <c r="G25" s="15">
        <v>2888.2588286431142</v>
      </c>
      <c r="H25" s="11">
        <v>27.554898219007466</v>
      </c>
    </row>
    <row r="26" spans="1:12">
      <c r="A26" t="s">
        <v>20</v>
      </c>
      <c r="B26">
        <v>0.6</v>
      </c>
      <c r="C26" t="s">
        <v>18</v>
      </c>
      <c r="D26" s="7">
        <v>40904</v>
      </c>
      <c r="E26">
        <v>2</v>
      </c>
      <c r="F26" s="15">
        <v>71853.362934016346</v>
      </c>
      <c r="G26" s="15">
        <v>2556.6623021792352</v>
      </c>
      <c r="H26" s="11">
        <v>28.104362032001774</v>
      </c>
    </row>
    <row r="27" spans="1:12">
      <c r="A27" t="s">
        <v>20</v>
      </c>
      <c r="B27">
        <v>0.6</v>
      </c>
      <c r="C27" t="s">
        <v>18</v>
      </c>
      <c r="D27" s="7">
        <v>40904</v>
      </c>
      <c r="E27">
        <v>3</v>
      </c>
      <c r="F27" s="15">
        <v>88766.518073720174</v>
      </c>
      <c r="G27" s="15">
        <v>3372.4298689781531</v>
      </c>
      <c r="H27" s="11">
        <v>26.321234694975718</v>
      </c>
    </row>
    <row r="28" spans="1:12">
      <c r="A28" t="s">
        <v>20</v>
      </c>
      <c r="B28">
        <v>0.6</v>
      </c>
      <c r="C28" t="s">
        <v>18</v>
      </c>
      <c r="D28" s="7">
        <v>40904</v>
      </c>
      <c r="E28">
        <v>4</v>
      </c>
      <c r="F28" s="15">
        <v>128723.97583084316</v>
      </c>
      <c r="G28" s="15">
        <v>3676.7000625025976</v>
      </c>
      <c r="H28" s="11">
        <v>35.010736160845653</v>
      </c>
    </row>
    <row r="29" spans="1:12">
      <c r="A29" t="s">
        <v>20</v>
      </c>
      <c r="B29">
        <v>0.6</v>
      </c>
      <c r="C29" t="s">
        <v>18</v>
      </c>
      <c r="D29" s="7">
        <v>40546</v>
      </c>
      <c r="E29">
        <v>1</v>
      </c>
      <c r="F29" s="15">
        <v>191442.62887684777</v>
      </c>
      <c r="G29" s="15">
        <v>3385.8735055685611</v>
      </c>
      <c r="H29" s="12">
        <v>56.541577398562744</v>
      </c>
    </row>
    <row r="30" spans="1:12">
      <c r="A30" t="s">
        <v>20</v>
      </c>
      <c r="B30">
        <v>0.6</v>
      </c>
      <c r="C30" t="s">
        <v>18</v>
      </c>
      <c r="D30" s="7">
        <v>40546</v>
      </c>
      <c r="E30">
        <v>2</v>
      </c>
      <c r="F30" s="15">
        <v>142888.74985509229</v>
      </c>
      <c r="G30" s="15">
        <v>2951.504043803056</v>
      </c>
      <c r="H30" s="12">
        <v>48.412181631632819</v>
      </c>
      <c r="I30" s="5">
        <f>AVERAGE(H25:H36)</f>
        <v>50.390069990870103</v>
      </c>
      <c r="J30">
        <f>STDEV(H25:H36)/SQRT(COUNT(H25:H36))</f>
        <v>8.8052959971251727</v>
      </c>
    </row>
    <row r="31" spans="1:12">
      <c r="A31" t="s">
        <v>20</v>
      </c>
      <c r="B31">
        <v>0.6</v>
      </c>
      <c r="C31" t="s">
        <v>18</v>
      </c>
      <c r="D31" s="7">
        <v>40546</v>
      </c>
      <c r="E31">
        <v>3</v>
      </c>
      <c r="F31" s="15">
        <v>208411.36973193707</v>
      </c>
      <c r="G31" s="15">
        <v>3912.0920727825155</v>
      </c>
      <c r="H31" s="12">
        <v>53.273636165649435</v>
      </c>
    </row>
    <row r="32" spans="1:12">
      <c r="A32" t="s">
        <v>20</v>
      </c>
      <c r="B32">
        <v>0.6</v>
      </c>
      <c r="C32" t="s">
        <v>18</v>
      </c>
      <c r="D32" s="7">
        <v>40546</v>
      </c>
      <c r="E32">
        <v>4</v>
      </c>
      <c r="F32" s="15">
        <v>138900.49189297124</v>
      </c>
      <c r="G32" s="15">
        <v>2600.6536890582433</v>
      </c>
      <c r="H32" s="12">
        <v>53.409837871673837</v>
      </c>
    </row>
    <row r="33" spans="1:10">
      <c r="A33" t="s">
        <v>20</v>
      </c>
      <c r="B33">
        <v>0.6</v>
      </c>
      <c r="C33" t="s">
        <v>18</v>
      </c>
      <c r="D33" s="7" t="s">
        <v>15</v>
      </c>
      <c r="E33">
        <v>1</v>
      </c>
      <c r="F33" s="15">
        <v>109086.3460512258</v>
      </c>
      <c r="G33" s="15">
        <v>2304.0417149331902</v>
      </c>
      <c r="H33" s="12">
        <v>47.345647148749194</v>
      </c>
    </row>
    <row r="34" spans="1:10">
      <c r="A34" t="s">
        <v>20</v>
      </c>
      <c r="B34">
        <v>0.6</v>
      </c>
      <c r="C34" t="s">
        <v>18</v>
      </c>
      <c r="D34" s="7" t="s">
        <v>15</v>
      </c>
      <c r="E34">
        <v>2</v>
      </c>
      <c r="F34" s="15">
        <v>41636.342794353019</v>
      </c>
      <c r="G34" s="15">
        <v>295.06344782048967</v>
      </c>
      <c r="H34" s="12">
        <v>141.10979554364755</v>
      </c>
    </row>
    <row r="35" spans="1:10">
      <c r="A35" t="s">
        <v>20</v>
      </c>
      <c r="B35">
        <v>0.6</v>
      </c>
      <c r="C35" t="s">
        <v>18</v>
      </c>
      <c r="D35" s="7" t="s">
        <v>15</v>
      </c>
      <c r="E35">
        <v>3</v>
      </c>
      <c r="F35" s="15">
        <v>152346.78604900462</v>
      </c>
      <c r="G35" s="15">
        <v>3710.6402563013262</v>
      </c>
      <c r="H35" s="12">
        <v>41.056738332500089</v>
      </c>
    </row>
    <row r="36" spans="1:10">
      <c r="A36" t="s">
        <v>20</v>
      </c>
      <c r="B36">
        <v>0.6</v>
      </c>
      <c r="C36" t="s">
        <v>18</v>
      </c>
      <c r="D36" s="7" t="s">
        <v>15</v>
      </c>
      <c r="E36">
        <v>4</v>
      </c>
      <c r="F36" s="15">
        <v>173964.65684910747</v>
      </c>
      <c r="G36" s="15">
        <v>3737.9443297004627</v>
      </c>
      <c r="H36" s="12">
        <v>46.540194691194877</v>
      </c>
    </row>
    <row r="37" spans="1:10">
      <c r="A37" t="s">
        <v>20</v>
      </c>
      <c r="B37">
        <v>6</v>
      </c>
      <c r="C37" t="s">
        <v>18</v>
      </c>
      <c r="D37" s="7">
        <v>40904</v>
      </c>
      <c r="E37">
        <v>1</v>
      </c>
      <c r="F37" s="15">
        <v>52147.170606586747</v>
      </c>
      <c r="G37" s="15">
        <v>1918.6256523757968</v>
      </c>
      <c r="H37" s="11">
        <v>27.179439898561725</v>
      </c>
    </row>
    <row r="38" spans="1:10">
      <c r="A38" t="s">
        <v>20</v>
      </c>
      <c r="B38">
        <v>6</v>
      </c>
      <c r="C38" t="s">
        <v>18</v>
      </c>
      <c r="D38" s="7">
        <v>40904</v>
      </c>
      <c r="E38">
        <v>2</v>
      </c>
      <c r="F38" s="15">
        <v>68273.66051366413</v>
      </c>
      <c r="G38" s="15">
        <v>3221.6762756516755</v>
      </c>
      <c r="H38" s="11">
        <v>21.191967991834886</v>
      </c>
    </row>
    <row r="39" spans="1:10">
      <c r="A39" t="s">
        <v>20</v>
      </c>
      <c r="B39">
        <v>6</v>
      </c>
      <c r="C39" t="s">
        <v>18</v>
      </c>
      <c r="D39" s="7">
        <v>40904</v>
      </c>
      <c r="E39">
        <v>3</v>
      </c>
      <c r="F39" s="15">
        <v>90221.674570862044</v>
      </c>
      <c r="G39" s="15">
        <v>3381.0089278756677</v>
      </c>
      <c r="H39" s="11">
        <v>26.684837720185939</v>
      </c>
    </row>
    <row r="40" spans="1:10">
      <c r="A40" t="s">
        <v>20</v>
      </c>
      <c r="B40">
        <v>6</v>
      </c>
      <c r="C40" t="s">
        <v>18</v>
      </c>
      <c r="D40" s="7">
        <v>40904</v>
      </c>
      <c r="E40">
        <v>4</v>
      </c>
      <c r="F40" s="15">
        <v>122027.22079251759</v>
      </c>
      <c r="G40" s="15">
        <v>3321.4107304254712</v>
      </c>
      <c r="H40" s="11">
        <v>36.739575649195892</v>
      </c>
    </row>
    <row r="41" spans="1:10">
      <c r="A41" t="s">
        <v>20</v>
      </c>
      <c r="B41">
        <v>6</v>
      </c>
      <c r="C41" t="s">
        <v>18</v>
      </c>
      <c r="D41" s="7">
        <v>40546</v>
      </c>
      <c r="E41">
        <v>1</v>
      </c>
      <c r="F41" s="15">
        <v>514414.23501876165</v>
      </c>
      <c r="G41" s="15">
        <v>9285.4317266468188</v>
      </c>
      <c r="H41" s="12">
        <v>55.400141874127847</v>
      </c>
    </row>
    <row r="42" spans="1:10">
      <c r="A42" t="s">
        <v>20</v>
      </c>
      <c r="B42">
        <v>6</v>
      </c>
      <c r="C42" t="s">
        <v>18</v>
      </c>
      <c r="D42" s="7">
        <v>40546</v>
      </c>
      <c r="E42">
        <v>2</v>
      </c>
      <c r="F42" s="15">
        <v>266361.59035697189</v>
      </c>
      <c r="G42" s="15">
        <v>4314.4551435586091</v>
      </c>
      <c r="H42" s="12">
        <v>61.737016956739986</v>
      </c>
      <c r="I42" s="5">
        <f>AVERAGE(H37:H48)</f>
        <v>42.13769032140582</v>
      </c>
      <c r="J42">
        <f>STDEV(H37:H48)/SQRT(COUNT(H37:H48))</f>
        <v>3.7151593110256571</v>
      </c>
    </row>
    <row r="43" spans="1:10">
      <c r="A43" t="s">
        <v>20</v>
      </c>
      <c r="B43">
        <v>6</v>
      </c>
      <c r="C43" t="s">
        <v>18</v>
      </c>
      <c r="D43" s="7">
        <v>40546</v>
      </c>
      <c r="E43">
        <v>3</v>
      </c>
      <c r="F43" s="15">
        <v>195089.91428447037</v>
      </c>
      <c r="G43" s="15">
        <v>3381.8335662968329</v>
      </c>
      <c r="H43" s="12">
        <v>57.687615448828033</v>
      </c>
    </row>
    <row r="44" spans="1:10">
      <c r="A44" t="s">
        <v>20</v>
      </c>
      <c r="B44">
        <v>6</v>
      </c>
      <c r="C44" t="s">
        <v>18</v>
      </c>
      <c r="D44" s="7">
        <v>40546</v>
      </c>
      <c r="E44">
        <v>4</v>
      </c>
      <c r="F44" s="15">
        <v>144584.13527753123</v>
      </c>
      <c r="G44" s="15">
        <v>2827.3360495651195</v>
      </c>
      <c r="H44" s="12">
        <v>51.137937883178097</v>
      </c>
    </row>
    <row r="45" spans="1:10">
      <c r="A45" t="s">
        <v>20</v>
      </c>
      <c r="B45">
        <v>6</v>
      </c>
      <c r="C45" t="s">
        <v>18</v>
      </c>
      <c r="D45" s="7" t="s">
        <v>15</v>
      </c>
      <c r="E45">
        <v>1</v>
      </c>
      <c r="F45" s="15">
        <v>142567.13841747417</v>
      </c>
      <c r="G45" s="15">
        <v>3340.5028468249443</v>
      </c>
      <c r="H45" s="12">
        <v>42.678346630651816</v>
      </c>
    </row>
    <row r="46" spans="1:10">
      <c r="A46" t="s">
        <v>20</v>
      </c>
      <c r="B46">
        <v>6</v>
      </c>
      <c r="C46" t="s">
        <v>18</v>
      </c>
      <c r="D46" s="7" t="s">
        <v>15</v>
      </c>
      <c r="E46">
        <v>2</v>
      </c>
      <c r="F46" s="15">
        <v>152695.72493934698</v>
      </c>
      <c r="G46" s="15">
        <v>3710.6402563013194</v>
      </c>
      <c r="H46" s="12">
        <v>41.150775713178554</v>
      </c>
    </row>
    <row r="47" spans="1:10">
      <c r="A47" t="s">
        <v>20</v>
      </c>
      <c r="B47">
        <v>6</v>
      </c>
      <c r="C47" t="s">
        <v>18</v>
      </c>
      <c r="D47" s="7" t="s">
        <v>15</v>
      </c>
      <c r="E47">
        <v>3</v>
      </c>
      <c r="F47" s="15">
        <v>158388.69569464578</v>
      </c>
      <c r="G47" s="15">
        <v>3603.4038922375539</v>
      </c>
      <c r="H47" s="12">
        <v>43.955299053721518</v>
      </c>
    </row>
    <row r="48" spans="1:10">
      <c r="A48" t="s">
        <v>20</v>
      </c>
      <c r="B48">
        <v>6</v>
      </c>
      <c r="C48" t="s">
        <v>18</v>
      </c>
      <c r="D48" s="7" t="s">
        <v>15</v>
      </c>
      <c r="E48">
        <v>4</v>
      </c>
      <c r="F48" s="15">
        <v>134641.79554534412</v>
      </c>
      <c r="G48" s="15">
        <v>3356.8698050835624</v>
      </c>
      <c r="H48" s="12">
        <v>40.109329036665599</v>
      </c>
    </row>
    <row r="49" spans="1:10">
      <c r="A49" t="s">
        <v>20</v>
      </c>
      <c r="B49">
        <v>20</v>
      </c>
      <c r="C49" t="s">
        <v>18</v>
      </c>
      <c r="D49" s="7">
        <v>40904</v>
      </c>
      <c r="E49">
        <v>1</v>
      </c>
      <c r="F49" s="15">
        <v>60365.116003408883</v>
      </c>
      <c r="G49" s="15">
        <v>2498.8653427578865</v>
      </c>
      <c r="H49" s="11">
        <v>24.157010372070143</v>
      </c>
    </row>
    <row r="50" spans="1:10">
      <c r="A50" t="s">
        <v>20</v>
      </c>
      <c r="B50">
        <v>20</v>
      </c>
      <c r="C50" t="s">
        <v>18</v>
      </c>
      <c r="D50" s="7">
        <v>40904</v>
      </c>
      <c r="E50">
        <v>2</v>
      </c>
      <c r="F50" s="15">
        <v>69878.138884964588</v>
      </c>
      <c r="G50" s="15">
        <v>2873.6199405035809</v>
      </c>
      <c r="H50" s="11">
        <v>24.317112329307875</v>
      </c>
    </row>
    <row r="51" spans="1:10">
      <c r="A51" t="s">
        <v>20</v>
      </c>
      <c r="B51">
        <v>20</v>
      </c>
      <c r="C51" t="s">
        <v>18</v>
      </c>
      <c r="D51" s="7">
        <v>40904</v>
      </c>
      <c r="E51">
        <v>3</v>
      </c>
      <c r="F51" s="15">
        <v>95062.493452332827</v>
      </c>
      <c r="G51" s="15">
        <v>3105.1510939728955</v>
      </c>
      <c r="H51" s="11">
        <v>30.614450175017026</v>
      </c>
    </row>
    <row r="52" spans="1:10">
      <c r="A52" t="s">
        <v>20</v>
      </c>
      <c r="B52">
        <v>20</v>
      </c>
      <c r="C52" t="s">
        <v>18</v>
      </c>
      <c r="D52" s="7">
        <v>40904</v>
      </c>
      <c r="E52">
        <v>4</v>
      </c>
      <c r="F52" s="15">
        <v>55008.965091670456</v>
      </c>
      <c r="G52" s="15">
        <v>2217.6014787654349</v>
      </c>
      <c r="H52" s="11">
        <v>24.805613460491831</v>
      </c>
      <c r="I52" s="5">
        <f>AVERAGE(H49:H60)</f>
        <v>40.438103176878791</v>
      </c>
      <c r="J52">
        <f>STDEV(H49:H60)/SQRT(COUNT(H49:H60))</f>
        <v>3.6850033099143054</v>
      </c>
    </row>
    <row r="53" spans="1:10">
      <c r="A53" t="s">
        <v>20</v>
      </c>
      <c r="B53">
        <v>20</v>
      </c>
      <c r="C53" t="s">
        <v>18</v>
      </c>
      <c r="D53" s="7">
        <v>40546</v>
      </c>
      <c r="E53">
        <v>1</v>
      </c>
      <c r="F53" s="15">
        <v>244674.57392245482</v>
      </c>
      <c r="G53" s="15">
        <v>3865.6638045517338</v>
      </c>
      <c r="H53" s="12">
        <v>63.294323121000822</v>
      </c>
    </row>
    <row r="54" spans="1:10">
      <c r="A54" t="s">
        <v>20</v>
      </c>
      <c r="B54">
        <v>20</v>
      </c>
      <c r="C54" t="s">
        <v>18</v>
      </c>
      <c r="D54" s="7">
        <v>40546</v>
      </c>
      <c r="E54">
        <v>2</v>
      </c>
      <c r="F54" s="15">
        <v>218996.08468187117</v>
      </c>
      <c r="G54" s="15">
        <v>4242.9408439184281</v>
      </c>
      <c r="H54" s="12">
        <v>51.614220593192286</v>
      </c>
    </row>
    <row r="55" spans="1:10">
      <c r="A55" t="s">
        <v>20</v>
      </c>
      <c r="B55">
        <v>20</v>
      </c>
      <c r="C55" t="s">
        <v>18</v>
      </c>
      <c r="D55" s="7">
        <v>40546</v>
      </c>
      <c r="E55">
        <v>3</v>
      </c>
      <c r="F55" s="15">
        <v>373231.34716676088</v>
      </c>
      <c r="G55" s="15">
        <v>6905.8069268627796</v>
      </c>
      <c r="H55" s="12">
        <v>54.046015349044104</v>
      </c>
    </row>
    <row r="56" spans="1:10">
      <c r="A56" t="s">
        <v>20</v>
      </c>
      <c r="B56">
        <v>20</v>
      </c>
      <c r="C56" t="s">
        <v>18</v>
      </c>
      <c r="D56" s="7">
        <v>40546</v>
      </c>
      <c r="E56">
        <v>4</v>
      </c>
      <c r="F56" s="15">
        <v>141881.07597943555</v>
      </c>
      <c r="G56" s="15">
        <v>2912.9960602779038</v>
      </c>
      <c r="H56" s="12">
        <v>48.706236824055267</v>
      </c>
    </row>
    <row r="57" spans="1:10">
      <c r="A57" t="s">
        <v>20</v>
      </c>
      <c r="B57">
        <v>20</v>
      </c>
      <c r="C57" t="s">
        <v>18</v>
      </c>
      <c r="D57" s="7" t="s">
        <v>15</v>
      </c>
      <c r="E57">
        <v>1</v>
      </c>
      <c r="F57" s="15">
        <v>151304.74644535652</v>
      </c>
      <c r="G57" s="15">
        <v>3356.8698050835624</v>
      </c>
      <c r="H57" s="12">
        <v>45.073164951534395</v>
      </c>
    </row>
    <row r="58" spans="1:10">
      <c r="A58" t="s">
        <v>20</v>
      </c>
      <c r="B58">
        <v>20</v>
      </c>
      <c r="C58" t="s">
        <v>18</v>
      </c>
      <c r="D58" s="7" t="s">
        <v>15</v>
      </c>
      <c r="E58">
        <v>2</v>
      </c>
      <c r="F58" s="15">
        <v>161498.92111194669</v>
      </c>
      <c r="G58" s="15">
        <v>3983.1558322580477</v>
      </c>
      <c r="H58" s="12">
        <v>40.545468948020819</v>
      </c>
    </row>
    <row r="59" spans="1:10">
      <c r="A59" t="s">
        <v>20</v>
      </c>
      <c r="B59">
        <v>20</v>
      </c>
      <c r="C59" t="s">
        <v>18</v>
      </c>
      <c r="D59" s="7" t="s">
        <v>15</v>
      </c>
      <c r="E59">
        <v>3</v>
      </c>
      <c r="F59" s="15">
        <v>123148.80881981742</v>
      </c>
      <c r="G59" s="15">
        <v>3119.5699355164488</v>
      </c>
      <c r="H59" s="12">
        <v>39.47621350551001</v>
      </c>
    </row>
    <row r="60" spans="1:10">
      <c r="A60" t="s">
        <v>20</v>
      </c>
      <c r="B60">
        <v>20</v>
      </c>
      <c r="C60" t="s">
        <v>18</v>
      </c>
      <c r="D60" s="7" t="s">
        <v>15</v>
      </c>
      <c r="E60">
        <v>4</v>
      </c>
      <c r="F60" s="15">
        <v>86382.362984284511</v>
      </c>
      <c r="G60" s="15">
        <v>2237.4556168221857</v>
      </c>
      <c r="H60" s="12">
        <v>38.607408493300838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F1" sqref="F1:H1048576"/>
    </sheetView>
  </sheetViews>
  <sheetFormatPr baseColWidth="10" defaultColWidth="8.83203125" defaultRowHeight="14" x14ac:dyDescent="0"/>
  <cols>
    <col min="2" max="2" width="6.83203125" customWidth="1"/>
    <col min="3" max="3" width="4.6640625" customWidth="1"/>
    <col min="4" max="4" width="7.5" customWidth="1"/>
    <col min="5" max="5" width="4.5" customWidth="1"/>
    <col min="6" max="6" width="11.6640625" style="16" customWidth="1"/>
    <col min="7" max="8" width="8.83203125" style="16"/>
  </cols>
  <sheetData>
    <row r="1" spans="1:18" ht="18">
      <c r="A1" s="1"/>
      <c r="B1" s="1"/>
      <c r="C1" s="1"/>
      <c r="D1" s="1"/>
      <c r="E1" s="1"/>
      <c r="F1" s="13" t="s">
        <v>0</v>
      </c>
      <c r="G1" s="13" t="s">
        <v>2</v>
      </c>
      <c r="H1" s="17" t="s">
        <v>3</v>
      </c>
    </row>
    <row r="2" spans="1:18" ht="18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4" t="s">
        <v>10</v>
      </c>
      <c r="G2" s="14" t="s">
        <v>10</v>
      </c>
      <c r="H2" s="17" t="s">
        <v>2</v>
      </c>
      <c r="I2" s="6" t="s">
        <v>12</v>
      </c>
      <c r="J2" s="6" t="s">
        <v>13</v>
      </c>
      <c r="O2" t="s">
        <v>21</v>
      </c>
      <c r="P2" t="s">
        <v>21</v>
      </c>
      <c r="Q2" t="s">
        <v>21</v>
      </c>
      <c r="R2" t="s">
        <v>21</v>
      </c>
    </row>
    <row r="3" spans="1:18">
      <c r="A3" t="s">
        <v>14</v>
      </c>
      <c r="D3" s="7">
        <v>40904</v>
      </c>
      <c r="E3">
        <v>1</v>
      </c>
      <c r="F3" s="15">
        <v>161255.45518283348</v>
      </c>
      <c r="G3" s="15">
        <v>3521.2800385736946</v>
      </c>
      <c r="H3" s="18">
        <f>F3/G3</f>
        <v>45.794555791180557</v>
      </c>
      <c r="L3">
        <v>0</v>
      </c>
      <c r="M3">
        <f>51.3711258236028/51.3711258236028</f>
        <v>1</v>
      </c>
      <c r="N3">
        <f>2.12835464496056/100</f>
        <v>2.12835464496056E-2</v>
      </c>
    </row>
    <row r="4" spans="1:18">
      <c r="A4" t="s">
        <v>14</v>
      </c>
      <c r="D4" s="7">
        <v>40904</v>
      </c>
      <c r="E4">
        <v>2</v>
      </c>
      <c r="F4" s="15">
        <v>186234.82338117575</v>
      </c>
      <c r="G4" s="15">
        <v>3917.8063316965631</v>
      </c>
      <c r="H4" s="18">
        <f>F4/G4</f>
        <v>47.535484813137458</v>
      </c>
      <c r="L4" s="16" t="s">
        <v>22</v>
      </c>
      <c r="M4">
        <f>43.9750498728132/51.3711258236028</f>
        <v>0.85602659407959825</v>
      </c>
      <c r="N4">
        <f>3.53386410621377/100</f>
        <v>3.5338641062137702E-2</v>
      </c>
    </row>
    <row r="5" spans="1:18">
      <c r="A5" t="s">
        <v>14</v>
      </c>
      <c r="D5" s="7">
        <v>40904</v>
      </c>
      <c r="E5">
        <v>3</v>
      </c>
      <c r="F5" s="15">
        <v>95727.263434202439</v>
      </c>
      <c r="G5" s="15">
        <v>2195.1790066766839</v>
      </c>
      <c r="H5" s="18">
        <f>F5/G5</f>
        <v>43.607953220692217</v>
      </c>
      <c r="L5">
        <v>23</v>
      </c>
      <c r="M5">
        <f>47.1358576686963/51.3711258236028</f>
        <v>0.91755547329350962</v>
      </c>
      <c r="N5">
        <f>5.65646478822705/100</f>
        <v>5.6564647882270495E-2</v>
      </c>
    </row>
    <row r="6" spans="1:18">
      <c r="A6" t="s">
        <v>14</v>
      </c>
      <c r="D6" s="7">
        <v>40904</v>
      </c>
      <c r="E6">
        <v>4</v>
      </c>
      <c r="F6" s="15">
        <v>181747.45704844521</v>
      </c>
      <c r="G6" s="15">
        <v>2822.9656617766304</v>
      </c>
      <c r="H6" s="18">
        <f>F6/G6</f>
        <v>64.381745590933846</v>
      </c>
      <c r="L6">
        <v>226</v>
      </c>
      <c r="M6">
        <f>42.2878149641895/51.3711258236028</f>
        <v>0.8231825619200287</v>
      </c>
      <c r="N6">
        <f>2.60658620617374/100</f>
        <v>2.6065862061737399E-2</v>
      </c>
    </row>
    <row r="7" spans="1:18">
      <c r="A7" t="s">
        <v>14</v>
      </c>
      <c r="D7" s="7">
        <v>40904</v>
      </c>
      <c r="E7">
        <v>5</v>
      </c>
      <c r="F7" s="15"/>
      <c r="G7" s="15"/>
      <c r="H7" s="18"/>
      <c r="L7">
        <v>754</v>
      </c>
      <c r="M7">
        <f>42.3704306720332/51.3711258236028</f>
        <v>0.82479077483183805</v>
      </c>
      <c r="N7">
        <f>3.40648764559429/100</f>
        <v>3.4064876455942895E-2</v>
      </c>
    </row>
    <row r="8" spans="1:18">
      <c r="A8" t="s">
        <v>14</v>
      </c>
      <c r="D8" s="7">
        <v>40904</v>
      </c>
      <c r="E8">
        <v>6</v>
      </c>
      <c r="F8" s="15">
        <v>94731.841635135308</v>
      </c>
      <c r="G8" s="15">
        <v>1943.1539020144396</v>
      </c>
      <c r="H8" s="18">
        <f>F8/G8</f>
        <v>48.751589638333932</v>
      </c>
    </row>
    <row r="9" spans="1:18">
      <c r="A9" t="s">
        <v>14</v>
      </c>
      <c r="D9" s="7">
        <v>40546</v>
      </c>
      <c r="E9">
        <v>1</v>
      </c>
      <c r="F9" s="15">
        <v>168942.54514058062</v>
      </c>
      <c r="G9" s="15">
        <v>2600.6536890582433</v>
      </c>
      <c r="H9" s="18">
        <f>F9/G9</f>
        <v>64.961569412865046</v>
      </c>
    </row>
    <row r="10" spans="1:18">
      <c r="A10" t="s">
        <v>14</v>
      </c>
      <c r="D10" s="7">
        <v>40546</v>
      </c>
      <c r="E10">
        <v>2</v>
      </c>
      <c r="F10" s="15">
        <v>232848.74322676918</v>
      </c>
      <c r="G10" s="15">
        <v>4182.5870915914475</v>
      </c>
      <c r="H10" s="18">
        <f>F10/G10</f>
        <v>55.670984997510651</v>
      </c>
    </row>
    <row r="11" spans="1:18">
      <c r="A11" t="s">
        <v>14</v>
      </c>
      <c r="D11" s="7">
        <v>40546</v>
      </c>
      <c r="E11">
        <v>3</v>
      </c>
      <c r="F11" s="15">
        <v>242376.63762806341</v>
      </c>
      <c r="G11" s="15">
        <v>4273.4435228224838</v>
      </c>
      <c r="H11" s="18">
        <f>F11/G11</f>
        <v>56.716939473668475</v>
      </c>
    </row>
    <row r="12" spans="1:18">
      <c r="A12" t="s">
        <v>14</v>
      </c>
      <c r="D12" s="7">
        <v>40546</v>
      </c>
      <c r="E12">
        <v>4</v>
      </c>
      <c r="F12" s="15">
        <v>261999.19187618885</v>
      </c>
      <c r="G12" s="15">
        <v>3810.6766330540017</v>
      </c>
      <c r="H12" s="18">
        <f>F12/G12</f>
        <v>68.75398180039592</v>
      </c>
      <c r="I12" s="5">
        <f>AVERAGE(H3:H24)</f>
        <v>51.371125823602767</v>
      </c>
      <c r="J12">
        <f>STDEV(H3:H24)/SQRT(COUNT(H3:H24))</f>
        <v>2.1283546449605582</v>
      </c>
    </row>
    <row r="13" spans="1:18">
      <c r="A13" t="s">
        <v>14</v>
      </c>
      <c r="D13" s="7">
        <v>40546</v>
      </c>
      <c r="E13">
        <v>5</v>
      </c>
      <c r="F13" s="15">
        <v>175441.1113367728</v>
      </c>
      <c r="G13" s="15">
        <v>3015.6182196257218</v>
      </c>
      <c r="H13" s="18">
        <f>F13/G13</f>
        <v>58.177494151944529</v>
      </c>
    </row>
    <row r="14" spans="1:18">
      <c r="A14" t="s">
        <v>14</v>
      </c>
      <c r="D14" s="7">
        <v>40546</v>
      </c>
      <c r="E14">
        <v>6</v>
      </c>
      <c r="F14" s="15">
        <v>179841.05474239806</v>
      </c>
      <c r="G14" s="15">
        <v>3940.2162660552608</v>
      </c>
      <c r="H14" s="18">
        <f>F14/G14</f>
        <v>45.642432445071236</v>
      </c>
    </row>
    <row r="15" spans="1:18">
      <c r="A15" t="s">
        <v>14</v>
      </c>
      <c r="D15" s="7">
        <v>40546</v>
      </c>
      <c r="E15">
        <v>7</v>
      </c>
      <c r="F15" s="15">
        <v>236167.98525265508</v>
      </c>
      <c r="G15" s="15">
        <v>3148.0549937318237</v>
      </c>
      <c r="H15" s="18">
        <f>F15/G15</f>
        <v>75.020285771022259</v>
      </c>
    </row>
    <row r="16" spans="1:18">
      <c r="A16" t="s">
        <v>14</v>
      </c>
      <c r="D16" s="7">
        <v>40546</v>
      </c>
      <c r="E16">
        <v>8</v>
      </c>
      <c r="F16" s="15">
        <v>99597.01276786768</v>
      </c>
      <c r="G16" s="15">
        <v>2291.5095185495666</v>
      </c>
      <c r="H16" s="18">
        <f>F16/G16</f>
        <v>43.46349511605284</v>
      </c>
    </row>
    <row r="17" spans="1:10">
      <c r="A17" t="s">
        <v>14</v>
      </c>
      <c r="D17" s="7" t="s">
        <v>16</v>
      </c>
      <c r="E17">
        <v>1</v>
      </c>
      <c r="F17" s="15">
        <v>83952.916683092437</v>
      </c>
      <c r="G17" s="15">
        <v>1825.4984668478735</v>
      </c>
      <c r="H17" s="19">
        <f>F17/G17</f>
        <v>45.989037080954496</v>
      </c>
      <c r="J17" s="5"/>
    </row>
    <row r="18" spans="1:10">
      <c r="A18" t="s">
        <v>14</v>
      </c>
      <c r="D18" s="7" t="s">
        <v>16</v>
      </c>
      <c r="E18">
        <v>2</v>
      </c>
      <c r="F18" s="15">
        <v>90284.597321467634</v>
      </c>
      <c r="G18" s="15">
        <v>2091.0631135889153</v>
      </c>
      <c r="H18" s="19">
        <f>F18/G18</f>
        <v>43.176409518558799</v>
      </c>
    </row>
    <row r="19" spans="1:10">
      <c r="A19" t="s">
        <v>14</v>
      </c>
      <c r="D19" s="7" t="s">
        <v>16</v>
      </c>
      <c r="E19">
        <v>3</v>
      </c>
      <c r="F19" s="15">
        <v>88256.27207540386</v>
      </c>
      <c r="G19" s="15">
        <v>1969.5792339088337</v>
      </c>
      <c r="H19" s="19">
        <f>F19/G19</f>
        <v>44.809708873834012</v>
      </c>
    </row>
    <row r="20" spans="1:10">
      <c r="A20" t="s">
        <v>14</v>
      </c>
      <c r="D20" s="7" t="s">
        <v>16</v>
      </c>
      <c r="E20">
        <v>4</v>
      </c>
      <c r="F20" s="15">
        <v>74766.757825276742</v>
      </c>
      <c r="G20" s="15">
        <v>1630.7724836544246</v>
      </c>
      <c r="H20" s="19">
        <f>F20/G20</f>
        <v>45.847448724257781</v>
      </c>
    </row>
    <row r="21" spans="1:10">
      <c r="A21" t="s">
        <v>14</v>
      </c>
      <c r="D21" s="7" t="s">
        <v>16</v>
      </c>
      <c r="E21">
        <v>5</v>
      </c>
      <c r="F21" s="15">
        <v>96434.207528169616</v>
      </c>
      <c r="G21" s="15">
        <v>2024.7459633287353</v>
      </c>
      <c r="H21" s="19">
        <f>F21/G21</f>
        <v>47.627805796253696</v>
      </c>
    </row>
    <row r="22" spans="1:10">
      <c r="A22" t="s">
        <v>14</v>
      </c>
      <c r="D22" s="7" t="s">
        <v>16</v>
      </c>
      <c r="E22">
        <v>6</v>
      </c>
      <c r="F22" s="15">
        <v>79678.140524358125</v>
      </c>
      <c r="G22" s="15">
        <v>1821.3009555542078</v>
      </c>
      <c r="H22" s="19">
        <f>F22/G22</f>
        <v>43.747926602340513</v>
      </c>
    </row>
    <row r="23" spans="1:10">
      <c r="A23" t="s">
        <v>14</v>
      </c>
      <c r="D23" s="7" t="s">
        <v>16</v>
      </c>
      <c r="E23">
        <v>7</v>
      </c>
      <c r="F23" s="15">
        <v>146488.62596872199</v>
      </c>
      <c r="G23" s="15">
        <v>2953.4573608549399</v>
      </c>
      <c r="H23" s="19">
        <f>F23/G23</f>
        <v>49.599031938053031</v>
      </c>
    </row>
    <row r="24" spans="1:10">
      <c r="A24" t="s">
        <v>14</v>
      </c>
      <c r="D24" s="7" t="s">
        <v>16</v>
      </c>
      <c r="E24">
        <v>8</v>
      </c>
      <c r="F24" s="15">
        <v>116714.02370067945</v>
      </c>
      <c r="G24" s="15">
        <v>2953.4573608549399</v>
      </c>
      <c r="H24" s="19">
        <f>F24/G24</f>
        <v>39.517761538596964</v>
      </c>
    </row>
    <row r="25" spans="1:10">
      <c r="A25" t="s">
        <v>22</v>
      </c>
      <c r="D25" s="7" t="s">
        <v>16</v>
      </c>
      <c r="E25">
        <v>1</v>
      </c>
      <c r="F25" s="15">
        <v>74597.064848214432</v>
      </c>
      <c r="G25" s="15">
        <v>2048.1856887341955</v>
      </c>
      <c r="H25" s="19">
        <f>F25/G25</f>
        <v>36.42104583511486</v>
      </c>
    </row>
    <row r="26" spans="1:10">
      <c r="A26" t="s">
        <v>22</v>
      </c>
      <c r="D26" s="7" t="s">
        <v>16</v>
      </c>
      <c r="E26">
        <v>2</v>
      </c>
      <c r="F26" s="15">
        <v>86666.470429907393</v>
      </c>
      <c r="G26" s="15">
        <v>2189.5873887023499</v>
      </c>
      <c r="H26" s="19">
        <f>F26/G26</f>
        <v>39.581188162245454</v>
      </c>
    </row>
    <row r="27" spans="1:10">
      <c r="A27" t="s">
        <v>22</v>
      </c>
      <c r="D27" s="7" t="s">
        <v>16</v>
      </c>
      <c r="E27">
        <v>3</v>
      </c>
      <c r="F27" s="15">
        <v>104892.16164145622</v>
      </c>
      <c r="G27" s="15">
        <v>2057.6373826077311</v>
      </c>
      <c r="H27" s="19">
        <f>F27/G27</f>
        <v>50.976990663205164</v>
      </c>
      <c r="I27" s="5">
        <f>AVERAGE(H25:H28)</f>
        <v>43.975049872813173</v>
      </c>
      <c r="J27">
        <f>STDEV(H25:H28)/SQRT(COUNT(H25:H28))</f>
        <v>3.5338641062137732</v>
      </c>
    </row>
    <row r="28" spans="1:10">
      <c r="A28" t="s">
        <v>22</v>
      </c>
      <c r="D28" s="7" t="s">
        <v>16</v>
      </c>
      <c r="E28">
        <v>4</v>
      </c>
      <c r="F28" s="15">
        <v>102768.91177681807</v>
      </c>
      <c r="G28" s="15">
        <v>2100.7126724783302</v>
      </c>
      <c r="H28" s="19">
        <f>F28/G28</f>
        <v>48.920974830687221</v>
      </c>
    </row>
    <row r="29" spans="1:10">
      <c r="A29" t="s">
        <v>23</v>
      </c>
      <c r="B29">
        <v>23</v>
      </c>
      <c r="C29" t="s">
        <v>24</v>
      </c>
      <c r="D29" s="7">
        <v>40904</v>
      </c>
      <c r="E29">
        <v>1</v>
      </c>
      <c r="F29" s="15">
        <v>32998.512736187709</v>
      </c>
      <c r="G29" s="15">
        <v>1400.1347377879733</v>
      </c>
      <c r="H29" s="18">
        <v>23.568098016281613</v>
      </c>
    </row>
    <row r="30" spans="1:10">
      <c r="A30" t="s">
        <v>23</v>
      </c>
      <c r="B30">
        <v>23</v>
      </c>
      <c r="C30" t="s">
        <v>24</v>
      </c>
      <c r="D30" s="7">
        <v>40904</v>
      </c>
      <c r="E30">
        <v>2</v>
      </c>
      <c r="F30" s="15">
        <v>63530.16018349956</v>
      </c>
      <c r="G30" s="15">
        <v>2113.0952994784175</v>
      </c>
      <c r="H30" s="18">
        <v>30.064976340244062</v>
      </c>
    </row>
    <row r="31" spans="1:10">
      <c r="A31" t="s">
        <v>23</v>
      </c>
      <c r="B31">
        <v>23</v>
      </c>
      <c r="C31" t="s">
        <v>24</v>
      </c>
      <c r="D31" s="7">
        <v>40904</v>
      </c>
      <c r="E31">
        <v>3</v>
      </c>
      <c r="F31" s="15">
        <v>94952.148144413455</v>
      </c>
      <c r="G31" s="15">
        <v>3381.0089278756677</v>
      </c>
      <c r="H31" s="18">
        <v>28.083968475076798</v>
      </c>
    </row>
    <row r="32" spans="1:10">
      <c r="A32" t="s">
        <v>23</v>
      </c>
      <c r="B32">
        <v>23</v>
      </c>
      <c r="C32" t="s">
        <v>24</v>
      </c>
      <c r="D32" s="7">
        <v>40904</v>
      </c>
      <c r="E32">
        <v>4</v>
      </c>
      <c r="F32" s="15">
        <v>161255.45518283374</v>
      </c>
      <c r="G32" s="15">
        <v>3238.0882436911115</v>
      </c>
      <c r="H32" s="18">
        <v>49.79958637539103</v>
      </c>
    </row>
    <row r="33" spans="1:10">
      <c r="A33" t="s">
        <v>23</v>
      </c>
      <c r="B33">
        <v>23</v>
      </c>
      <c r="C33" t="s">
        <v>24</v>
      </c>
      <c r="D33" s="7">
        <v>40546</v>
      </c>
      <c r="E33">
        <v>1</v>
      </c>
      <c r="F33" s="15">
        <v>317914.75118527759</v>
      </c>
      <c r="G33" s="15">
        <v>6291.7511368700389</v>
      </c>
      <c r="H33" s="18">
        <v>50.528818490972739</v>
      </c>
    </row>
    <row r="34" spans="1:10">
      <c r="A34" t="s">
        <v>23</v>
      </c>
      <c r="B34">
        <v>23</v>
      </c>
      <c r="C34" t="s">
        <v>24</v>
      </c>
      <c r="D34" s="7">
        <v>40546</v>
      </c>
      <c r="E34">
        <v>2</v>
      </c>
      <c r="F34" s="15">
        <v>359406.3742309637</v>
      </c>
      <c r="G34" s="15">
        <v>5451.9478934435301</v>
      </c>
      <c r="H34" s="18">
        <v>65.922562220960145</v>
      </c>
    </row>
    <row r="35" spans="1:10">
      <c r="A35" t="s">
        <v>23</v>
      </c>
      <c r="B35">
        <v>23</v>
      </c>
      <c r="C35" t="s">
        <v>24</v>
      </c>
      <c r="D35" s="7">
        <v>40546</v>
      </c>
      <c r="E35">
        <v>3</v>
      </c>
      <c r="F35" s="15">
        <v>258927.00411682526</v>
      </c>
      <c r="G35" s="15">
        <v>4931.7131543760397</v>
      </c>
      <c r="H35" s="18">
        <v>52.502446109841664</v>
      </c>
      <c r="I35" s="5">
        <f>AVERAGE(H29:H40)</f>
        <v>47.135857668696339</v>
      </c>
      <c r="J35">
        <f>STDEV(H29:H40)/SQRT(COUNT(H29:H40))</f>
        <v>5.6564647882270531</v>
      </c>
    </row>
    <row r="36" spans="1:10">
      <c r="A36" t="s">
        <v>23</v>
      </c>
      <c r="B36">
        <v>23</v>
      </c>
      <c r="C36" t="s">
        <v>24</v>
      </c>
      <c r="D36" s="7">
        <v>40546</v>
      </c>
      <c r="E36">
        <v>4</v>
      </c>
      <c r="F36" s="15">
        <v>378551.73307791754</v>
      </c>
      <c r="G36" s="15">
        <v>3907.4242627259869</v>
      </c>
      <c r="H36" s="18">
        <v>96.880120413088591</v>
      </c>
    </row>
    <row r="37" spans="1:10">
      <c r="A37" t="s">
        <v>23</v>
      </c>
      <c r="B37">
        <v>23</v>
      </c>
      <c r="C37" t="s">
        <v>24</v>
      </c>
      <c r="D37" s="7" t="s">
        <v>16</v>
      </c>
      <c r="E37">
        <v>1</v>
      </c>
      <c r="F37" s="15">
        <v>68116.040367351568</v>
      </c>
      <c r="G37" s="15">
        <v>1699.7654704676745</v>
      </c>
      <c r="H37" s="19">
        <v>40.073787561180474</v>
      </c>
    </row>
    <row r="38" spans="1:10">
      <c r="A38" t="s">
        <v>23</v>
      </c>
      <c r="B38">
        <v>23</v>
      </c>
      <c r="C38" t="s">
        <v>24</v>
      </c>
      <c r="D38" s="7" t="s">
        <v>16</v>
      </c>
      <c r="E38">
        <v>2</v>
      </c>
      <c r="F38" s="15">
        <v>105609.6154998023</v>
      </c>
      <c r="G38" s="15">
        <v>2644.4926529252616</v>
      </c>
      <c r="H38" s="19">
        <v>39.935681191240967</v>
      </c>
    </row>
    <row r="39" spans="1:10">
      <c r="A39" t="s">
        <v>23</v>
      </c>
      <c r="B39">
        <v>23</v>
      </c>
      <c r="C39" t="s">
        <v>24</v>
      </c>
      <c r="D39" s="7" t="s">
        <v>16</v>
      </c>
      <c r="E39">
        <v>3</v>
      </c>
      <c r="F39" s="15">
        <v>126662.52826032737</v>
      </c>
      <c r="G39" s="15">
        <v>3085.5038319897185</v>
      </c>
      <c r="H39" s="19">
        <v>41.050841339791091</v>
      </c>
    </row>
    <row r="40" spans="1:10">
      <c r="A40" t="s">
        <v>23</v>
      </c>
      <c r="B40">
        <v>23</v>
      </c>
      <c r="C40" t="s">
        <v>24</v>
      </c>
      <c r="D40" s="7" t="s">
        <v>16</v>
      </c>
      <c r="E40">
        <v>4</v>
      </c>
      <c r="F40" s="15">
        <v>92149.915886463597</v>
      </c>
      <c r="G40" s="15">
        <v>1951.5263889846972</v>
      </c>
      <c r="H40" s="19">
        <v>47.21940549028681</v>
      </c>
    </row>
    <row r="41" spans="1:10">
      <c r="A41" t="s">
        <v>23</v>
      </c>
      <c r="B41">
        <v>226</v>
      </c>
      <c r="C41" t="s">
        <v>24</v>
      </c>
      <c r="D41" s="7">
        <v>40904</v>
      </c>
      <c r="E41">
        <v>1</v>
      </c>
      <c r="F41" s="15">
        <v>108142.99312037097</v>
      </c>
      <c r="G41" s="15">
        <v>3658.0650286878308</v>
      </c>
      <c r="H41" s="18">
        <v>29.562895211614784</v>
      </c>
    </row>
    <row r="42" spans="1:10">
      <c r="A42" t="s">
        <v>23</v>
      </c>
      <c r="B42">
        <v>226</v>
      </c>
      <c r="C42" t="s">
        <v>24</v>
      </c>
      <c r="D42" s="7">
        <v>40904</v>
      </c>
      <c r="E42">
        <v>2</v>
      </c>
      <c r="F42" s="15">
        <v>132362.57721330426</v>
      </c>
      <c r="G42" s="15">
        <v>2977.6715737092254</v>
      </c>
      <c r="H42" s="18">
        <v>44.451704607712287</v>
      </c>
    </row>
    <row r="43" spans="1:10">
      <c r="A43" t="s">
        <v>23</v>
      </c>
      <c r="B43">
        <v>226</v>
      </c>
      <c r="C43" t="s">
        <v>24</v>
      </c>
      <c r="D43" s="7">
        <v>40904</v>
      </c>
      <c r="E43">
        <v>3</v>
      </c>
      <c r="F43" s="15">
        <v>116758.70024052847</v>
      </c>
      <c r="G43" s="15">
        <v>3809.830627515179</v>
      </c>
      <c r="H43" s="18">
        <v>30.646690537180131</v>
      </c>
    </row>
    <row r="44" spans="1:10">
      <c r="A44" t="s">
        <v>23</v>
      </c>
      <c r="B44">
        <v>226</v>
      </c>
      <c r="C44" t="s">
        <v>24</v>
      </c>
      <c r="D44" s="7">
        <v>40904</v>
      </c>
      <c r="E44">
        <v>4</v>
      </c>
      <c r="F44" s="15">
        <v>166199.22685686577</v>
      </c>
      <c r="G44" s="15">
        <v>3714.2554073193205</v>
      </c>
      <c r="H44" s="18">
        <v>44.746310802793253</v>
      </c>
    </row>
    <row r="45" spans="1:10">
      <c r="A45" t="s">
        <v>23</v>
      </c>
      <c r="B45">
        <v>226</v>
      </c>
      <c r="C45" t="s">
        <v>24</v>
      </c>
      <c r="D45" s="7">
        <v>40546</v>
      </c>
      <c r="E45">
        <v>1</v>
      </c>
      <c r="F45" s="15">
        <v>240100.28310708079</v>
      </c>
      <c r="G45" s="15">
        <v>4202.6090117619751</v>
      </c>
      <c r="H45" s="18">
        <v>57.131244528126338</v>
      </c>
    </row>
    <row r="46" spans="1:10">
      <c r="A46" t="s">
        <v>23</v>
      </c>
      <c r="B46">
        <v>226</v>
      </c>
      <c r="C46" t="s">
        <v>24</v>
      </c>
      <c r="D46" s="7">
        <v>40546</v>
      </c>
      <c r="E46">
        <v>2</v>
      </c>
      <c r="F46" s="15">
        <v>172161.16830321035</v>
      </c>
      <c r="G46" s="15">
        <v>3496.7951653077512</v>
      </c>
      <c r="H46" s="18">
        <v>49.233987169522564</v>
      </c>
    </row>
    <row r="47" spans="1:10">
      <c r="A47" t="s">
        <v>23</v>
      </c>
      <c r="B47">
        <v>226</v>
      </c>
      <c r="C47" t="s">
        <v>24</v>
      </c>
      <c r="D47" s="7">
        <v>40546</v>
      </c>
      <c r="E47">
        <v>3</v>
      </c>
      <c r="F47" s="15">
        <v>204033.14234838291</v>
      </c>
      <c r="G47" s="15">
        <v>3694.2061894968811</v>
      </c>
      <c r="H47" s="18">
        <v>55.230577797329296</v>
      </c>
      <c r="I47" s="5">
        <f>AVERAGE(H41:H52)</f>
        <v>42.287814964189529</v>
      </c>
      <c r="J47">
        <f>STDEV(H41:H52)/SQRT(COUNT(H41:H52))</f>
        <v>2.606586206173743</v>
      </c>
    </row>
    <row r="48" spans="1:10">
      <c r="A48" t="s">
        <v>23</v>
      </c>
      <c r="B48">
        <v>226</v>
      </c>
      <c r="C48" t="s">
        <v>24</v>
      </c>
      <c r="D48" s="7">
        <v>40546</v>
      </c>
      <c r="E48">
        <v>4</v>
      </c>
      <c r="F48" s="15">
        <v>159643.23764004273</v>
      </c>
      <c r="G48" s="15">
        <v>3406.1457090238678</v>
      </c>
      <c r="H48" s="18">
        <v>46.869174509211831</v>
      </c>
    </row>
    <row r="49" spans="1:10">
      <c r="A49" t="s">
        <v>23</v>
      </c>
      <c r="B49">
        <v>226</v>
      </c>
      <c r="C49" t="s">
        <v>24</v>
      </c>
      <c r="D49" s="7" t="s">
        <v>16</v>
      </c>
      <c r="E49">
        <v>1</v>
      </c>
      <c r="F49" s="15">
        <v>83004.520628113198</v>
      </c>
      <c r="G49" s="15">
        <v>2298.0378738850786</v>
      </c>
      <c r="H49" s="19">
        <v>36.11973569773469</v>
      </c>
    </row>
    <row r="50" spans="1:10">
      <c r="A50" t="s">
        <v>23</v>
      </c>
      <c r="B50">
        <v>226</v>
      </c>
      <c r="C50" t="s">
        <v>24</v>
      </c>
      <c r="D50" s="7" t="s">
        <v>16</v>
      </c>
      <c r="E50">
        <v>2</v>
      </c>
      <c r="F50" s="15">
        <v>79859.391903348704</v>
      </c>
      <c r="G50" s="15">
        <v>1876.6295806630694</v>
      </c>
      <c r="H50" s="19">
        <v>42.5546909876226</v>
      </c>
    </row>
    <row r="51" spans="1:10">
      <c r="A51" t="s">
        <v>23</v>
      </c>
      <c r="B51">
        <v>226</v>
      </c>
      <c r="C51" t="s">
        <v>24</v>
      </c>
      <c r="D51" s="7" t="s">
        <v>16</v>
      </c>
      <c r="E51">
        <v>3</v>
      </c>
      <c r="F51" s="15">
        <v>104179.5817714912</v>
      </c>
      <c r="G51" s="15">
        <v>2953.4573608549399</v>
      </c>
      <c r="H51" s="19">
        <v>35.273772072109495</v>
      </c>
    </row>
    <row r="52" spans="1:10">
      <c r="A52" t="s">
        <v>23</v>
      </c>
      <c r="B52">
        <v>226</v>
      </c>
      <c r="C52" t="s">
        <v>24</v>
      </c>
      <c r="D52" s="7" t="s">
        <v>16</v>
      </c>
      <c r="E52">
        <v>4</v>
      </c>
      <c r="F52" s="15">
        <v>97093.809667975584</v>
      </c>
      <c r="G52" s="15">
        <v>2724.828712789868</v>
      </c>
      <c r="H52" s="19">
        <v>35.632995649317067</v>
      </c>
    </row>
    <row r="53" spans="1:10">
      <c r="A53" t="s">
        <v>23</v>
      </c>
      <c r="B53">
        <v>754</v>
      </c>
      <c r="C53" t="s">
        <v>24</v>
      </c>
      <c r="D53" s="7">
        <v>40904</v>
      </c>
      <c r="E53">
        <v>1</v>
      </c>
      <c r="F53" s="15">
        <v>72692.761888566092</v>
      </c>
      <c r="G53" s="15">
        <v>2569.6865344114158</v>
      </c>
      <c r="H53" s="18">
        <v>28.288571744108197</v>
      </c>
    </row>
    <row r="54" spans="1:10">
      <c r="A54" t="s">
        <v>23</v>
      </c>
      <c r="B54">
        <v>754</v>
      </c>
      <c r="C54" t="s">
        <v>24</v>
      </c>
      <c r="D54" s="7">
        <v>40904</v>
      </c>
      <c r="E54">
        <v>2</v>
      </c>
      <c r="F54" s="15">
        <v>87334.831329731009</v>
      </c>
      <c r="G54" s="15">
        <v>3101.2090466494692</v>
      </c>
      <c r="H54" s="18">
        <v>28.161542809920256</v>
      </c>
    </row>
    <row r="55" spans="1:10">
      <c r="A55" t="s">
        <v>23</v>
      </c>
      <c r="B55">
        <v>754</v>
      </c>
      <c r="C55" t="s">
        <v>24</v>
      </c>
      <c r="D55" s="7">
        <v>40904</v>
      </c>
      <c r="E55">
        <v>3</v>
      </c>
      <c r="F55" s="15">
        <v>143907.20001374237</v>
      </c>
      <c r="G55" s="15">
        <v>4249.633317206205</v>
      </c>
      <c r="H55" s="18">
        <v>33.863439330419659</v>
      </c>
    </row>
    <row r="56" spans="1:10">
      <c r="A56" t="s">
        <v>23</v>
      </c>
      <c r="B56">
        <v>754</v>
      </c>
      <c r="C56" t="s">
        <v>24</v>
      </c>
      <c r="D56" s="7">
        <v>40904</v>
      </c>
      <c r="E56">
        <v>4</v>
      </c>
      <c r="F56" s="15">
        <v>184941.53121214121</v>
      </c>
      <c r="G56" s="15">
        <v>3584.4646188768461</v>
      </c>
      <c r="H56" s="18">
        <v>51.595301077372795</v>
      </c>
    </row>
    <row r="57" spans="1:10">
      <c r="A57" t="s">
        <v>23</v>
      </c>
      <c r="B57">
        <v>754</v>
      </c>
      <c r="C57" t="s">
        <v>24</v>
      </c>
      <c r="D57" s="7">
        <v>40546</v>
      </c>
      <c r="E57">
        <v>1</v>
      </c>
      <c r="F57" s="15">
        <v>294104.37449388485</v>
      </c>
      <c r="G57" s="15">
        <v>4273.4435228224838</v>
      </c>
      <c r="H57" s="18">
        <v>68.821401973188486</v>
      </c>
    </row>
    <row r="58" spans="1:10">
      <c r="A58" t="s">
        <v>23</v>
      </c>
      <c r="B58">
        <v>754</v>
      </c>
      <c r="C58" t="s">
        <v>24</v>
      </c>
      <c r="D58" s="7">
        <v>40546</v>
      </c>
      <c r="E58">
        <v>2</v>
      </c>
      <c r="F58" s="15">
        <v>211382.25876273235</v>
      </c>
      <c r="G58" s="15">
        <v>3921.4444280582602</v>
      </c>
      <c r="H58" s="18">
        <v>53.904183175534698</v>
      </c>
      <c r="I58" s="5">
        <f>AVERAGE(H53:H64)</f>
        <v>42.370430672033152</v>
      </c>
      <c r="J58">
        <f>STDEV(H53:H64)/SQRT(COUNT(H53:H64))</f>
        <v>3.4064876455942867</v>
      </c>
    </row>
    <row r="59" spans="1:10">
      <c r="A59" t="s">
        <v>23</v>
      </c>
      <c r="B59">
        <v>754</v>
      </c>
      <c r="C59" t="s">
        <v>24</v>
      </c>
      <c r="D59" s="7">
        <v>40546</v>
      </c>
      <c r="E59">
        <v>3</v>
      </c>
      <c r="F59" s="15">
        <v>126691.49528399564</v>
      </c>
      <c r="G59" s="15">
        <v>2854.4695855856739</v>
      </c>
      <c r="H59" s="18">
        <v>44.38355059859618</v>
      </c>
    </row>
    <row r="60" spans="1:10">
      <c r="A60" t="s">
        <v>23</v>
      </c>
      <c r="B60">
        <v>754</v>
      </c>
      <c r="C60" t="s">
        <v>24</v>
      </c>
      <c r="D60" s="7">
        <v>40546</v>
      </c>
      <c r="E60">
        <v>4</v>
      </c>
      <c r="F60" s="15">
        <v>173383.89875196188</v>
      </c>
      <c r="G60" s="15">
        <v>3615.6647535759971</v>
      </c>
      <c r="H60" s="18">
        <v>47.9535329099525</v>
      </c>
    </row>
    <row r="61" spans="1:10">
      <c r="A61" t="s">
        <v>23</v>
      </c>
      <c r="B61">
        <v>754</v>
      </c>
      <c r="C61" t="s">
        <v>24</v>
      </c>
      <c r="D61" s="7" t="s">
        <v>16</v>
      </c>
      <c r="E61">
        <v>1</v>
      </c>
      <c r="F61" s="15">
        <v>62623.51990833797</v>
      </c>
      <c r="G61" s="15">
        <v>1763.5391939155575</v>
      </c>
      <c r="H61" s="19">
        <v>35.510137866171256</v>
      </c>
    </row>
    <row r="62" spans="1:10">
      <c r="A62" t="s">
        <v>23</v>
      </c>
      <c r="B62">
        <v>754</v>
      </c>
      <c r="C62" t="s">
        <v>24</v>
      </c>
      <c r="D62" s="7" t="s">
        <v>16</v>
      </c>
      <c r="E62">
        <v>2</v>
      </c>
      <c r="F62" s="15">
        <v>67961.442067093012</v>
      </c>
      <c r="G62" s="15">
        <v>1929.1928462151584</v>
      </c>
      <c r="H62" s="19">
        <v>35.22791523948738</v>
      </c>
    </row>
    <row r="63" spans="1:10">
      <c r="A63" t="s">
        <v>23</v>
      </c>
      <c r="B63">
        <v>754</v>
      </c>
      <c r="C63" t="s">
        <v>24</v>
      </c>
      <c r="D63" s="7" t="s">
        <v>16</v>
      </c>
      <c r="E63">
        <v>3</v>
      </c>
      <c r="F63" s="15">
        <v>75793.052840370015</v>
      </c>
      <c r="G63" s="15">
        <v>1868.0093405467276</v>
      </c>
      <c r="H63" s="19">
        <v>40.57423653898163</v>
      </c>
    </row>
    <row r="64" spans="1:10">
      <c r="A64" t="s">
        <v>23</v>
      </c>
      <c r="B64">
        <v>754</v>
      </c>
      <c r="C64" t="s">
        <v>24</v>
      </c>
      <c r="D64" s="7" t="s">
        <v>16</v>
      </c>
      <c r="E64">
        <v>4</v>
      </c>
      <c r="F64" s="15">
        <v>68737.958370776105</v>
      </c>
      <c r="G64" s="15">
        <v>1711.5448099783293</v>
      </c>
      <c r="H64" s="19">
        <v>40.161354800664803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1" sqref="F1:F1048576"/>
    </sheetView>
  </sheetViews>
  <sheetFormatPr baseColWidth="10" defaultColWidth="8.83203125" defaultRowHeight="14" x14ac:dyDescent="0"/>
  <cols>
    <col min="2" max="2" width="7.83203125" customWidth="1"/>
    <col min="3" max="3" width="4.5" customWidth="1"/>
    <col min="4" max="4" width="9.1640625" customWidth="1"/>
    <col min="5" max="5" width="6.1640625" customWidth="1"/>
    <col min="6" max="7" width="15.5" style="16" customWidth="1"/>
    <col min="8" max="8" width="8.83203125" style="16"/>
  </cols>
  <sheetData>
    <row r="1" spans="1:13" ht="18">
      <c r="A1" s="1"/>
      <c r="B1" s="1"/>
      <c r="C1" s="1"/>
      <c r="D1" s="1"/>
      <c r="E1" s="1"/>
      <c r="F1" s="13" t="s">
        <v>0</v>
      </c>
      <c r="G1" s="13" t="s">
        <v>2</v>
      </c>
      <c r="H1" s="17" t="s">
        <v>3</v>
      </c>
    </row>
    <row r="2" spans="1:13" ht="18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4" t="s">
        <v>10</v>
      </c>
      <c r="G2" s="14" t="s">
        <v>10</v>
      </c>
      <c r="H2" s="17" t="s">
        <v>2</v>
      </c>
      <c r="I2" s="6" t="s">
        <v>12</v>
      </c>
      <c r="J2" s="6" t="s">
        <v>13</v>
      </c>
      <c r="K2" s="6"/>
      <c r="L2" s="6"/>
    </row>
    <row r="3" spans="1:13">
      <c r="A3" t="s">
        <v>14</v>
      </c>
      <c r="D3" s="7">
        <v>40904</v>
      </c>
      <c r="E3">
        <v>1</v>
      </c>
      <c r="F3" s="15">
        <v>161255.45518283348</v>
      </c>
      <c r="G3" s="15">
        <v>3521.2800385736946</v>
      </c>
      <c r="H3" s="18">
        <f>F3/G3</f>
        <v>45.794555791180557</v>
      </c>
    </row>
    <row r="4" spans="1:13">
      <c r="A4" t="s">
        <v>14</v>
      </c>
      <c r="D4" s="7">
        <v>40904</v>
      </c>
      <c r="E4">
        <v>2</v>
      </c>
      <c r="F4" s="15">
        <v>186234.82338117575</v>
      </c>
      <c r="G4" s="15">
        <v>3917.8063316965631</v>
      </c>
      <c r="H4" s="18">
        <f>F4/G4</f>
        <v>47.535484813137458</v>
      </c>
      <c r="K4">
        <v>0</v>
      </c>
      <c r="L4">
        <f>51.3711258236028/51.3711258236028</f>
        <v>1</v>
      </c>
      <c r="M4">
        <f>2.12835464496056/100</f>
        <v>2.12835464496056E-2</v>
      </c>
    </row>
    <row r="5" spans="1:13">
      <c r="A5" t="s">
        <v>14</v>
      </c>
      <c r="D5" s="7">
        <v>40904</v>
      </c>
      <c r="E5">
        <v>3</v>
      </c>
      <c r="F5" s="15">
        <v>95727.263434202439</v>
      </c>
      <c r="G5" s="15">
        <v>2195.1790066766839</v>
      </c>
      <c r="H5" s="18">
        <f>F5/G5</f>
        <v>43.607953220692217</v>
      </c>
      <c r="K5" s="16" t="s">
        <v>22</v>
      </c>
      <c r="L5">
        <f>43.9750498728132/51.3711258236028</f>
        <v>0.85602659407959825</v>
      </c>
      <c r="M5">
        <f>3.53386410621377/100</f>
        <v>3.5338641062137702E-2</v>
      </c>
    </row>
    <row r="6" spans="1:13">
      <c r="A6" t="s">
        <v>14</v>
      </c>
      <c r="D6" s="7">
        <v>40904</v>
      </c>
      <c r="E6">
        <v>4</v>
      </c>
      <c r="F6" s="15">
        <v>181747.45704844521</v>
      </c>
      <c r="G6" s="15">
        <v>2822.9656617766304</v>
      </c>
      <c r="H6" s="18">
        <f>F6/G6</f>
        <v>64.381745590933846</v>
      </c>
      <c r="K6">
        <v>0.6</v>
      </c>
      <c r="L6">
        <f>47.7589221968892/51.3711258236028</f>
        <v>0.92968416461969083</v>
      </c>
      <c r="M6">
        <f>3.89038331319712/100</f>
        <v>3.8903833131971204E-2</v>
      </c>
    </row>
    <row r="7" spans="1:13">
      <c r="A7" t="s">
        <v>14</v>
      </c>
      <c r="D7" s="7">
        <v>40904</v>
      </c>
      <c r="E7">
        <v>5</v>
      </c>
      <c r="F7" s="15"/>
      <c r="G7" s="15"/>
      <c r="H7" s="18"/>
      <c r="K7">
        <v>6.3</v>
      </c>
      <c r="L7">
        <f>51.1154358722093/51.3711258236028</f>
        <v>0.99502269130189025</v>
      </c>
      <c r="M7">
        <f>4.84953270387595/100</f>
        <v>4.84953270387595E-2</v>
      </c>
    </row>
    <row r="8" spans="1:13">
      <c r="A8" t="s">
        <v>14</v>
      </c>
      <c r="D8" s="7">
        <v>40904</v>
      </c>
      <c r="E8">
        <v>6</v>
      </c>
      <c r="F8" s="15">
        <v>94731.841635135308</v>
      </c>
      <c r="G8" s="15">
        <v>1943.1539020144396</v>
      </c>
      <c r="H8" s="18">
        <f>F8/G8</f>
        <v>48.751589638333932</v>
      </c>
      <c r="K8">
        <v>21.1</v>
      </c>
      <c r="L8">
        <f>57.9260472475179/51.3711258236028</f>
        <v>1.1275993336494758</v>
      </c>
      <c r="M8">
        <f>4.82937929963166/100</f>
        <v>4.8293792996316601E-2</v>
      </c>
    </row>
    <row r="9" spans="1:13">
      <c r="A9" t="s">
        <v>14</v>
      </c>
      <c r="D9" s="7">
        <v>40546</v>
      </c>
      <c r="E9">
        <v>1</v>
      </c>
      <c r="F9" s="15">
        <v>168942.54514058062</v>
      </c>
      <c r="G9" s="15">
        <v>2600.6536890582433</v>
      </c>
      <c r="H9" s="18">
        <f>F9/G9</f>
        <v>64.961569412865046</v>
      </c>
    </row>
    <row r="10" spans="1:13">
      <c r="A10" t="s">
        <v>14</v>
      </c>
      <c r="D10" s="7">
        <v>40546</v>
      </c>
      <c r="E10">
        <v>2</v>
      </c>
      <c r="F10" s="15">
        <v>232848.74322676918</v>
      </c>
      <c r="G10" s="15">
        <v>4182.5870915914475</v>
      </c>
      <c r="H10" s="18">
        <f>F10/G10</f>
        <v>55.670984997510651</v>
      </c>
    </row>
    <row r="11" spans="1:13">
      <c r="A11" t="s">
        <v>14</v>
      </c>
      <c r="D11" s="7">
        <v>40546</v>
      </c>
      <c r="E11">
        <v>3</v>
      </c>
      <c r="F11" s="15">
        <v>242376.63762806341</v>
      </c>
      <c r="G11" s="15">
        <v>4273.4435228224838</v>
      </c>
      <c r="H11" s="18">
        <f>F11/G11</f>
        <v>56.716939473668475</v>
      </c>
    </row>
    <row r="12" spans="1:13">
      <c r="A12" t="s">
        <v>14</v>
      </c>
      <c r="D12" s="7">
        <v>40546</v>
      </c>
      <c r="E12">
        <v>4</v>
      </c>
      <c r="F12" s="15">
        <v>261999.19187618885</v>
      </c>
      <c r="G12" s="15">
        <v>3810.6766330540017</v>
      </c>
      <c r="H12" s="18">
        <f>F12/G12</f>
        <v>68.75398180039592</v>
      </c>
      <c r="I12" s="5">
        <f>AVERAGE(H3:H24)</f>
        <v>51.371125823602767</v>
      </c>
      <c r="J12">
        <f>STDEV(H3:H24)/SQRT(COUNT(H3:H24))</f>
        <v>2.1283546449605582</v>
      </c>
    </row>
    <row r="13" spans="1:13">
      <c r="A13" t="s">
        <v>14</v>
      </c>
      <c r="D13" s="7">
        <v>40546</v>
      </c>
      <c r="E13">
        <v>5</v>
      </c>
      <c r="F13" s="15">
        <v>175441.1113367728</v>
      </c>
      <c r="G13" s="15">
        <v>3015.6182196257218</v>
      </c>
      <c r="H13" s="18">
        <f>F13/G13</f>
        <v>58.177494151944529</v>
      </c>
    </row>
    <row r="14" spans="1:13">
      <c r="A14" t="s">
        <v>14</v>
      </c>
      <c r="D14" s="7">
        <v>40546</v>
      </c>
      <c r="E14">
        <v>6</v>
      </c>
      <c r="F14" s="15">
        <v>179841.05474239806</v>
      </c>
      <c r="G14" s="15">
        <v>3940.2162660552608</v>
      </c>
      <c r="H14" s="18">
        <f>F14/G14</f>
        <v>45.642432445071236</v>
      </c>
    </row>
    <row r="15" spans="1:13">
      <c r="A15" t="s">
        <v>14</v>
      </c>
      <c r="D15" s="7">
        <v>40546</v>
      </c>
      <c r="E15">
        <v>7</v>
      </c>
      <c r="F15" s="15">
        <v>236167.98525265508</v>
      </c>
      <c r="G15" s="15">
        <v>3148.0549937318237</v>
      </c>
      <c r="H15" s="18">
        <f>F15/G15</f>
        <v>75.020285771022259</v>
      </c>
    </row>
    <row r="16" spans="1:13">
      <c r="A16" t="s">
        <v>14</v>
      </c>
      <c r="D16" s="7">
        <v>40546</v>
      </c>
      <c r="E16">
        <v>8</v>
      </c>
      <c r="F16" s="15">
        <v>99597.01276786768</v>
      </c>
      <c r="G16" s="15">
        <v>2291.5095185495666</v>
      </c>
      <c r="H16" s="18">
        <f>F16/G16</f>
        <v>43.46349511605284</v>
      </c>
    </row>
    <row r="17" spans="1:12">
      <c r="A17" t="s">
        <v>14</v>
      </c>
      <c r="D17" s="7" t="s">
        <v>16</v>
      </c>
      <c r="E17">
        <v>1</v>
      </c>
      <c r="F17" s="15">
        <v>83952.916683092437</v>
      </c>
      <c r="G17" s="15">
        <v>1825.4984668478735</v>
      </c>
      <c r="H17" s="19">
        <f>F17/G17</f>
        <v>45.989037080954496</v>
      </c>
      <c r="J17" s="5"/>
      <c r="K17" s="5"/>
      <c r="L17" s="5"/>
    </row>
    <row r="18" spans="1:12">
      <c r="A18" t="s">
        <v>14</v>
      </c>
      <c r="D18" s="7" t="s">
        <v>16</v>
      </c>
      <c r="E18">
        <v>2</v>
      </c>
      <c r="F18" s="15">
        <v>90284.597321467634</v>
      </c>
      <c r="G18" s="15">
        <v>2091.0631135889153</v>
      </c>
      <c r="H18" s="19">
        <f>F18/G18</f>
        <v>43.176409518558799</v>
      </c>
    </row>
    <row r="19" spans="1:12">
      <c r="A19" t="s">
        <v>14</v>
      </c>
      <c r="D19" s="7" t="s">
        <v>16</v>
      </c>
      <c r="E19">
        <v>3</v>
      </c>
      <c r="F19" s="15">
        <v>88256.27207540386</v>
      </c>
      <c r="G19" s="15">
        <v>1969.5792339088337</v>
      </c>
      <c r="H19" s="19">
        <f>F19/G19</f>
        <v>44.809708873834012</v>
      </c>
    </row>
    <row r="20" spans="1:12">
      <c r="A20" t="s">
        <v>14</v>
      </c>
      <c r="D20" s="7" t="s">
        <v>16</v>
      </c>
      <c r="E20">
        <v>4</v>
      </c>
      <c r="F20" s="15">
        <v>74766.757825276742</v>
      </c>
      <c r="G20" s="15">
        <v>1630.7724836544246</v>
      </c>
      <c r="H20" s="19">
        <f>F20/G20</f>
        <v>45.847448724257781</v>
      </c>
    </row>
    <row r="21" spans="1:12">
      <c r="A21" t="s">
        <v>14</v>
      </c>
      <c r="D21" s="7" t="s">
        <v>16</v>
      </c>
      <c r="E21">
        <v>5</v>
      </c>
      <c r="F21" s="15">
        <v>96434.207528169616</v>
      </c>
      <c r="G21" s="15">
        <v>2024.7459633287353</v>
      </c>
      <c r="H21" s="19">
        <f>F21/G21</f>
        <v>47.627805796253696</v>
      </c>
    </row>
    <row r="22" spans="1:12">
      <c r="A22" t="s">
        <v>14</v>
      </c>
      <c r="D22" s="7" t="s">
        <v>16</v>
      </c>
      <c r="E22">
        <v>6</v>
      </c>
      <c r="F22" s="15">
        <v>79678.140524358125</v>
      </c>
      <c r="G22" s="15">
        <v>1821.3009555542078</v>
      </c>
      <c r="H22" s="19">
        <f>F22/G22</f>
        <v>43.747926602340513</v>
      </c>
    </row>
    <row r="23" spans="1:12">
      <c r="A23" t="s">
        <v>14</v>
      </c>
      <c r="D23" s="7" t="s">
        <v>16</v>
      </c>
      <c r="E23">
        <v>7</v>
      </c>
      <c r="F23" s="15">
        <v>146488.62596872199</v>
      </c>
      <c r="G23" s="15">
        <v>2953.4573608549399</v>
      </c>
      <c r="H23" s="19">
        <f>F23/G23</f>
        <v>49.599031938053031</v>
      </c>
    </row>
    <row r="24" spans="1:12">
      <c r="A24" t="s">
        <v>14</v>
      </c>
      <c r="D24" s="7" t="s">
        <v>16</v>
      </c>
      <c r="E24">
        <v>8</v>
      </c>
      <c r="F24" s="15">
        <v>116714.02370067945</v>
      </c>
      <c r="G24" s="15">
        <v>2953.4573608549399</v>
      </c>
      <c r="H24" s="19">
        <f>F24/G24</f>
        <v>39.517761538596964</v>
      </c>
    </row>
    <row r="25" spans="1:12">
      <c r="A25" t="s">
        <v>22</v>
      </c>
      <c r="D25" s="7" t="s">
        <v>16</v>
      </c>
      <c r="E25">
        <v>1</v>
      </c>
      <c r="F25" s="15">
        <v>74597.064848214432</v>
      </c>
      <c r="G25" s="15">
        <v>2048.1856887341955</v>
      </c>
      <c r="H25" s="19">
        <f>F25/G25</f>
        <v>36.42104583511486</v>
      </c>
    </row>
    <row r="26" spans="1:12">
      <c r="A26" t="s">
        <v>22</v>
      </c>
      <c r="D26" s="7" t="s">
        <v>16</v>
      </c>
      <c r="E26">
        <v>2</v>
      </c>
      <c r="F26" s="15">
        <v>86666.470429907393</v>
      </c>
      <c r="G26" s="15">
        <v>2189.5873887023499</v>
      </c>
      <c r="H26" s="19">
        <f>F26/G26</f>
        <v>39.581188162245454</v>
      </c>
    </row>
    <row r="27" spans="1:12">
      <c r="A27" t="s">
        <v>22</v>
      </c>
      <c r="D27" s="7" t="s">
        <v>16</v>
      </c>
      <c r="E27">
        <v>3</v>
      </c>
      <c r="F27" s="15">
        <v>104892.16164145622</v>
      </c>
      <c r="G27" s="15">
        <v>2057.6373826077311</v>
      </c>
      <c r="H27" s="19">
        <f>F27/G27</f>
        <v>50.976990663205164</v>
      </c>
      <c r="I27" s="5">
        <f>AVERAGE(H25:H28)</f>
        <v>43.975049872813173</v>
      </c>
      <c r="J27">
        <f>STDEV(H25:H28)/SQRT(COUNT(H25:H28))</f>
        <v>3.5338641062137732</v>
      </c>
    </row>
    <row r="28" spans="1:12">
      <c r="A28" t="s">
        <v>22</v>
      </c>
      <c r="D28" s="7" t="s">
        <v>16</v>
      </c>
      <c r="E28">
        <v>4</v>
      </c>
      <c r="F28" s="15">
        <v>102768.91177681807</v>
      </c>
      <c r="G28" s="15">
        <v>2100.7126724783302</v>
      </c>
      <c r="H28" s="19">
        <f>F28/G28</f>
        <v>48.920974830687221</v>
      </c>
    </row>
    <row r="29" spans="1:12">
      <c r="A29" t="s">
        <v>25</v>
      </c>
      <c r="B29">
        <v>0.6</v>
      </c>
      <c r="C29" t="s">
        <v>24</v>
      </c>
      <c r="D29" s="7">
        <v>40904</v>
      </c>
      <c r="E29">
        <v>1</v>
      </c>
      <c r="F29" s="15">
        <v>71853.362934016346</v>
      </c>
      <c r="G29" s="15">
        <v>2622.4503365765731</v>
      </c>
      <c r="H29" s="18">
        <v>27.399322660888185</v>
      </c>
    </row>
    <row r="30" spans="1:12">
      <c r="A30" t="s">
        <v>25</v>
      </c>
      <c r="B30">
        <v>0.6</v>
      </c>
      <c r="C30" t="s">
        <v>24</v>
      </c>
      <c r="D30" s="7">
        <v>40904</v>
      </c>
      <c r="E30">
        <v>2</v>
      </c>
      <c r="F30" s="15">
        <v>57893.177304670404</v>
      </c>
      <c r="G30" s="15">
        <v>2086.4218955024994</v>
      </c>
      <c r="H30" s="18">
        <v>27.747589032431648</v>
      </c>
      <c r="I30" s="5"/>
    </row>
    <row r="31" spans="1:12">
      <c r="A31" t="s">
        <v>25</v>
      </c>
      <c r="B31">
        <v>0.6</v>
      </c>
      <c r="C31" t="s">
        <v>24</v>
      </c>
      <c r="D31" s="7">
        <v>40904</v>
      </c>
      <c r="E31">
        <v>3</v>
      </c>
      <c r="F31" s="15">
        <v>122311.00489916716</v>
      </c>
      <c r="G31" s="15">
        <v>4039.0911055126794</v>
      </c>
      <c r="H31" s="18">
        <v>30.281813829906742</v>
      </c>
    </row>
    <row r="32" spans="1:12">
      <c r="A32" t="s">
        <v>25</v>
      </c>
      <c r="B32">
        <v>0.6</v>
      </c>
      <c r="C32" t="s">
        <v>24</v>
      </c>
      <c r="D32" s="7">
        <v>40904</v>
      </c>
      <c r="E32">
        <v>4</v>
      </c>
      <c r="F32" s="15">
        <v>114609.0041067034</v>
      </c>
      <c r="G32" s="15">
        <v>3181.0093578835395</v>
      </c>
      <c r="H32" s="18">
        <v>36.029131389590638</v>
      </c>
    </row>
    <row r="33" spans="1:10">
      <c r="A33" t="s">
        <v>25</v>
      </c>
      <c r="B33">
        <v>0.6</v>
      </c>
      <c r="C33" t="s">
        <v>24</v>
      </c>
      <c r="D33" s="7">
        <v>40546</v>
      </c>
      <c r="E33">
        <v>1</v>
      </c>
      <c r="F33" s="15">
        <v>520517.79737780389</v>
      </c>
      <c r="G33" s="15">
        <v>8379.3670732847186</v>
      </c>
      <c r="H33" s="18">
        <v>62.118987368071046</v>
      </c>
    </row>
    <row r="34" spans="1:10">
      <c r="A34" t="s">
        <v>25</v>
      </c>
      <c r="B34">
        <v>0.6</v>
      </c>
      <c r="C34" t="s">
        <v>24</v>
      </c>
      <c r="D34" s="7">
        <v>40546</v>
      </c>
      <c r="E34">
        <v>2</v>
      </c>
      <c r="F34" s="15">
        <v>268886.92436565744</v>
      </c>
      <c r="G34" s="15">
        <v>4657.0389757623689</v>
      </c>
      <c r="H34" s="18">
        <v>57.737744039739326</v>
      </c>
    </row>
    <row r="35" spans="1:10">
      <c r="A35" t="s">
        <v>25</v>
      </c>
      <c r="B35">
        <v>0.6</v>
      </c>
      <c r="C35" t="s">
        <v>24</v>
      </c>
      <c r="D35" s="7">
        <v>40546</v>
      </c>
      <c r="E35">
        <v>3</v>
      </c>
      <c r="F35" s="15">
        <v>249924.90191954823</v>
      </c>
      <c r="G35" s="15">
        <v>3968.542645327856</v>
      </c>
      <c r="H35" s="18">
        <v>62.976493956486387</v>
      </c>
      <c r="I35" s="5">
        <f>AVERAGE(H29:H40)</f>
        <v>47.758922196889152</v>
      </c>
      <c r="J35">
        <f>STDEV(H29:H40)/SQRT(COUNT(H29:H40))</f>
        <v>3.8903833131971242</v>
      </c>
    </row>
    <row r="36" spans="1:10">
      <c r="A36" t="s">
        <v>25</v>
      </c>
      <c r="B36">
        <v>0.6</v>
      </c>
      <c r="C36" t="s">
        <v>24</v>
      </c>
      <c r="D36" s="7">
        <v>40546</v>
      </c>
      <c r="E36">
        <v>4</v>
      </c>
      <c r="F36" s="15">
        <v>245831.69910084317</v>
      </c>
      <c r="G36" s="15">
        <v>4439.8666462695383</v>
      </c>
      <c r="H36" s="18">
        <v>55.369162789471552</v>
      </c>
    </row>
    <row r="37" spans="1:10">
      <c r="A37" t="s">
        <v>25</v>
      </c>
      <c r="B37">
        <v>0.6</v>
      </c>
      <c r="C37" t="s">
        <v>24</v>
      </c>
      <c r="D37" s="7" t="s">
        <v>16</v>
      </c>
      <c r="E37">
        <v>1</v>
      </c>
      <c r="F37" s="15">
        <v>131352.12125877888</v>
      </c>
      <c r="G37" s="15">
        <v>2428.574061903083</v>
      </c>
      <c r="H37" s="19">
        <v>54.086108930871362</v>
      </c>
    </row>
    <row r="38" spans="1:10">
      <c r="A38" t="s">
        <v>25</v>
      </c>
      <c r="B38">
        <v>0.6</v>
      </c>
      <c r="C38" t="s">
        <v>24</v>
      </c>
      <c r="D38" s="7" t="s">
        <v>16</v>
      </c>
      <c r="E38">
        <v>2</v>
      </c>
      <c r="F38" s="15">
        <v>133458.04271948736</v>
      </c>
      <c r="G38" s="15">
        <v>2650.5873555842745</v>
      </c>
      <c r="H38" s="19">
        <v>50.350365717363395</v>
      </c>
    </row>
    <row r="39" spans="1:10">
      <c r="A39" t="s">
        <v>25</v>
      </c>
      <c r="B39">
        <v>0.6</v>
      </c>
      <c r="C39" t="s">
        <v>24</v>
      </c>
      <c r="D39" s="7" t="s">
        <v>16</v>
      </c>
      <c r="E39">
        <v>3</v>
      </c>
      <c r="F39" s="15">
        <v>145163.24599023297</v>
      </c>
      <c r="G39" s="15">
        <v>2756.3730338856726</v>
      </c>
      <c r="H39" s="19">
        <v>52.664586471300524</v>
      </c>
    </row>
    <row r="40" spans="1:10">
      <c r="A40" t="s">
        <v>25</v>
      </c>
      <c r="B40">
        <v>0.6</v>
      </c>
      <c r="C40" t="s">
        <v>24</v>
      </c>
      <c r="D40" s="7" t="s">
        <v>16</v>
      </c>
      <c r="E40">
        <v>4</v>
      </c>
      <c r="F40" s="15">
        <v>136525.20509755515</v>
      </c>
      <c r="G40" s="15">
        <v>2422.9898517613169</v>
      </c>
      <c r="H40" s="19">
        <v>56.345760176548993</v>
      </c>
    </row>
    <row r="41" spans="1:10">
      <c r="A41" t="s">
        <v>25</v>
      </c>
      <c r="B41">
        <v>6.3</v>
      </c>
      <c r="C41" t="s">
        <v>24</v>
      </c>
      <c r="D41" s="7">
        <v>40904</v>
      </c>
      <c r="E41">
        <v>1</v>
      </c>
      <c r="F41" s="15">
        <v>68115.253019812386</v>
      </c>
      <c r="G41" s="15">
        <v>2780.2589838550421</v>
      </c>
      <c r="H41" s="18">
        <v>24.499607200393026</v>
      </c>
    </row>
    <row r="42" spans="1:10">
      <c r="A42" t="s">
        <v>25</v>
      </c>
      <c r="B42">
        <v>6.3</v>
      </c>
      <c r="C42" t="s">
        <v>24</v>
      </c>
      <c r="D42" s="7">
        <v>40904</v>
      </c>
      <c r="E42">
        <v>2</v>
      </c>
      <c r="F42" s="15">
        <v>75620.755150431301</v>
      </c>
      <c r="G42" s="15">
        <v>2303.7447542297859</v>
      </c>
      <c r="H42" s="18">
        <v>32.825144804600406</v>
      </c>
      <c r="I42" s="5"/>
    </row>
    <row r="43" spans="1:10">
      <c r="A43" t="s">
        <v>25</v>
      </c>
      <c r="B43">
        <v>6.3</v>
      </c>
      <c r="C43" t="s">
        <v>24</v>
      </c>
      <c r="D43" s="7">
        <v>40904</v>
      </c>
      <c r="E43">
        <v>3</v>
      </c>
      <c r="F43" s="15">
        <v>131749.07853567132</v>
      </c>
      <c r="G43" s="15">
        <v>3459.209234416378</v>
      </c>
      <c r="H43" s="18">
        <v>38.086472834563715</v>
      </c>
    </row>
    <row r="44" spans="1:10">
      <c r="A44" t="s">
        <v>25</v>
      </c>
      <c r="B44">
        <v>6.3</v>
      </c>
      <c r="C44" t="s">
        <v>24</v>
      </c>
      <c r="D44" s="7">
        <v>40904</v>
      </c>
      <c r="E44">
        <v>4</v>
      </c>
      <c r="F44" s="15">
        <v>196455.23964313627</v>
      </c>
      <c r="G44" s="15">
        <v>2511.595143840058</v>
      </c>
      <c r="H44" s="18">
        <v>78.219310196136774</v>
      </c>
    </row>
    <row r="45" spans="1:10">
      <c r="A45" t="s">
        <v>25</v>
      </c>
      <c r="B45">
        <v>6.3</v>
      </c>
      <c r="C45" t="s">
        <v>24</v>
      </c>
      <c r="D45" s="7">
        <v>40546</v>
      </c>
      <c r="E45">
        <v>1</v>
      </c>
      <c r="F45" s="15">
        <v>334849.87652134418</v>
      </c>
      <c r="G45" s="15">
        <v>5664.2661778555694</v>
      </c>
      <c r="H45" s="18">
        <v>59.116197227884292</v>
      </c>
    </row>
    <row r="46" spans="1:10">
      <c r="A46" t="s">
        <v>25</v>
      </c>
      <c r="B46">
        <v>6.3</v>
      </c>
      <c r="C46" t="s">
        <v>24</v>
      </c>
      <c r="D46" s="7">
        <v>40546</v>
      </c>
      <c r="E46">
        <v>2</v>
      </c>
      <c r="F46" s="15">
        <v>371474.55424399814</v>
      </c>
      <c r="G46" s="15">
        <v>5732.2964264059901</v>
      </c>
      <c r="H46" s="18">
        <v>64.8037935604289</v>
      </c>
    </row>
    <row r="47" spans="1:10">
      <c r="A47" t="s">
        <v>25</v>
      </c>
      <c r="B47">
        <v>6.3</v>
      </c>
      <c r="C47" t="s">
        <v>24</v>
      </c>
      <c r="D47" s="7">
        <v>40546</v>
      </c>
      <c r="E47">
        <v>3</v>
      </c>
      <c r="F47" s="15">
        <v>369726.03051244054</v>
      </c>
      <c r="G47" s="15">
        <v>5451.9478934435301</v>
      </c>
      <c r="H47" s="18">
        <v>67.815400612516896</v>
      </c>
      <c r="I47" s="5">
        <f>AVERAGE(H41:H52)</f>
        <v>51.115435872209311</v>
      </c>
      <c r="J47">
        <f>STDEV(H41:H52)/SQRT(COUNT(H41:H52))</f>
        <v>4.8495327038759521</v>
      </c>
    </row>
    <row r="48" spans="1:10">
      <c r="A48" t="s">
        <v>25</v>
      </c>
      <c r="B48">
        <v>6.3</v>
      </c>
      <c r="C48" t="s">
        <v>24</v>
      </c>
      <c r="D48" s="7">
        <v>40546</v>
      </c>
      <c r="E48">
        <v>4</v>
      </c>
      <c r="F48" s="15">
        <v>178362.2807956622</v>
      </c>
      <c r="G48" s="15">
        <v>2509.1554273282613</v>
      </c>
      <c r="H48" s="18">
        <v>71.08458840494454</v>
      </c>
    </row>
    <row r="49" spans="1:10">
      <c r="A49" t="s">
        <v>25</v>
      </c>
      <c r="B49">
        <v>6.3</v>
      </c>
      <c r="C49" t="s">
        <v>24</v>
      </c>
      <c r="D49" s="7" t="s">
        <v>16</v>
      </c>
      <c r="E49">
        <v>1</v>
      </c>
      <c r="F49" s="15">
        <v>52333.477261453831</v>
      </c>
      <c r="G49" s="15">
        <v>1130.9202925603263</v>
      </c>
      <c r="H49" s="19">
        <v>46.275124432487118</v>
      </c>
    </row>
    <row r="50" spans="1:10">
      <c r="A50" t="s">
        <v>25</v>
      </c>
      <c r="B50">
        <v>6.3</v>
      </c>
      <c r="C50" t="s">
        <v>24</v>
      </c>
      <c r="D50" s="7" t="s">
        <v>16</v>
      </c>
      <c r="E50">
        <v>2</v>
      </c>
      <c r="F50" s="15">
        <v>116184.82930805266</v>
      </c>
      <c r="G50" s="15">
        <v>2762.7255847389679</v>
      </c>
      <c r="H50" s="19">
        <v>42.054422614336566</v>
      </c>
    </row>
    <row r="51" spans="1:10">
      <c r="A51" t="s">
        <v>25</v>
      </c>
      <c r="B51">
        <v>6.3</v>
      </c>
      <c r="C51" t="s">
        <v>24</v>
      </c>
      <c r="D51" s="7" t="s">
        <v>16</v>
      </c>
      <c r="E51">
        <v>3</v>
      </c>
      <c r="F51" s="15">
        <v>135597.7276638466</v>
      </c>
      <c r="G51" s="15">
        <v>3352.1029289971066</v>
      </c>
      <c r="H51" s="19">
        <v>40.45154058094964</v>
      </c>
    </row>
    <row r="52" spans="1:10">
      <c r="A52" t="s">
        <v>25</v>
      </c>
      <c r="B52">
        <v>6.3</v>
      </c>
      <c r="C52" t="s">
        <v>24</v>
      </c>
      <c r="D52" s="7" t="s">
        <v>16</v>
      </c>
      <c r="E52">
        <v>4</v>
      </c>
      <c r="F52" s="15">
        <v>119667.97349844994</v>
      </c>
      <c r="G52" s="15">
        <v>2485.1289191592114</v>
      </c>
      <c r="H52" s="19">
        <v>48.153627997269837</v>
      </c>
      <c r="I52" s="5"/>
    </row>
    <row r="53" spans="1:10">
      <c r="A53" t="s">
        <v>25</v>
      </c>
      <c r="B53">
        <v>21.1</v>
      </c>
      <c r="C53" t="s">
        <v>24</v>
      </c>
      <c r="D53" s="7">
        <v>40904</v>
      </c>
      <c r="E53">
        <v>1</v>
      </c>
      <c r="F53" s="15">
        <v>81645.429147165341</v>
      </c>
      <c r="G53" s="15">
        <v>2773.2042832962215</v>
      </c>
      <c r="H53" s="18">
        <v>29.440827579467694</v>
      </c>
    </row>
    <row r="54" spans="1:10">
      <c r="A54" t="s">
        <v>25</v>
      </c>
      <c r="B54">
        <v>21.1</v>
      </c>
      <c r="C54" t="s">
        <v>24</v>
      </c>
      <c r="D54" s="7">
        <v>40904</v>
      </c>
      <c r="E54">
        <v>2</v>
      </c>
      <c r="F54" s="15">
        <v>74401.092206916976</v>
      </c>
      <c r="G54" s="15">
        <v>2492.524657651808</v>
      </c>
      <c r="H54" s="18">
        <v>29.849691548090757</v>
      </c>
    </row>
    <row r="55" spans="1:10">
      <c r="A55" t="s">
        <v>25</v>
      </c>
      <c r="B55">
        <v>21.1</v>
      </c>
      <c r="C55" t="s">
        <v>24</v>
      </c>
      <c r="D55" s="7">
        <v>40904</v>
      </c>
      <c r="E55">
        <v>3</v>
      </c>
      <c r="F55" s="15">
        <v>121179.81295441913</v>
      </c>
      <c r="G55" s="15">
        <v>1410.8472697971131</v>
      </c>
      <c r="H55" s="18">
        <v>85.891517493488436</v>
      </c>
    </row>
    <row r="56" spans="1:10">
      <c r="A56" t="s">
        <v>25</v>
      </c>
      <c r="B56">
        <v>21.1</v>
      </c>
      <c r="C56" t="s">
        <v>24</v>
      </c>
      <c r="D56" s="7">
        <v>40904</v>
      </c>
      <c r="E56">
        <v>4</v>
      </c>
      <c r="F56" s="15">
        <v>161255.45518283348</v>
      </c>
      <c r="G56" s="15">
        <v>2576.2235101183483</v>
      </c>
      <c r="H56" s="18">
        <v>62.593736354585793</v>
      </c>
    </row>
    <row r="57" spans="1:10">
      <c r="A57" t="s">
        <v>25</v>
      </c>
      <c r="B57">
        <v>21.1</v>
      </c>
      <c r="C57" t="s">
        <v>24</v>
      </c>
      <c r="D57" s="7">
        <v>40546</v>
      </c>
      <c r="E57">
        <v>1</v>
      </c>
      <c r="F57" s="15">
        <v>459341.79861552094</v>
      </c>
      <c r="G57" s="15">
        <v>6678.7697201515284</v>
      </c>
      <c r="H57" s="18">
        <v>68.776409108637353</v>
      </c>
    </row>
    <row r="58" spans="1:10">
      <c r="A58" t="s">
        <v>25</v>
      </c>
      <c r="B58">
        <v>21.1</v>
      </c>
      <c r="C58" t="s">
        <v>24</v>
      </c>
      <c r="D58" s="7">
        <v>40546</v>
      </c>
      <c r="E58">
        <v>2</v>
      </c>
      <c r="F58" s="15">
        <v>350199.92075036804</v>
      </c>
      <c r="G58" s="15">
        <v>5828.9136500120949</v>
      </c>
      <c r="H58" s="18">
        <v>60.079792183855972</v>
      </c>
      <c r="I58" s="5">
        <f>AVERAGE(H53:H64)</f>
        <v>57.92604724751795</v>
      </c>
      <c r="J58">
        <f>STDEV(H53:H64)/SQRT(COUNT(H53:H64))</f>
        <v>4.8293792996316576</v>
      </c>
    </row>
    <row r="59" spans="1:10">
      <c r="A59" t="s">
        <v>25</v>
      </c>
      <c r="B59">
        <v>21.1</v>
      </c>
      <c r="C59" t="s">
        <v>24</v>
      </c>
      <c r="D59" s="7">
        <v>40546</v>
      </c>
      <c r="E59">
        <v>3</v>
      </c>
      <c r="F59" s="15">
        <v>284549.73745760974</v>
      </c>
      <c r="G59" s="15">
        <v>3738.5751787669301</v>
      </c>
      <c r="H59" s="18">
        <v>76.111813686052699</v>
      </c>
    </row>
    <row r="60" spans="1:10">
      <c r="A60" t="s">
        <v>25</v>
      </c>
      <c r="B60">
        <v>21.1</v>
      </c>
      <c r="C60" t="s">
        <v>24</v>
      </c>
      <c r="D60" s="7">
        <v>40546</v>
      </c>
      <c r="E60">
        <v>4</v>
      </c>
      <c r="F60" s="15">
        <v>248748.51011257039</v>
      </c>
      <c r="G60" s="15">
        <v>3997.0726641238907</v>
      </c>
      <c r="H60" s="18">
        <v>62.232671511137767</v>
      </c>
    </row>
    <row r="61" spans="1:10">
      <c r="A61" t="s">
        <v>25</v>
      </c>
      <c r="B61">
        <v>21.1</v>
      </c>
      <c r="C61" t="s">
        <v>24</v>
      </c>
      <c r="D61" s="7" t="s">
        <v>16</v>
      </c>
      <c r="E61">
        <v>1</v>
      </c>
      <c r="F61" s="15">
        <v>68116.040367351568</v>
      </c>
      <c r="G61" s="15">
        <v>1292.4623725848296</v>
      </c>
      <c r="H61" s="19">
        <v>52.702532632439038</v>
      </c>
    </row>
    <row r="62" spans="1:10">
      <c r="A62" t="s">
        <v>25</v>
      </c>
      <c r="B62">
        <v>21.1</v>
      </c>
      <c r="C62" t="s">
        <v>24</v>
      </c>
      <c r="D62" s="7" t="s">
        <v>16</v>
      </c>
      <c r="E62">
        <v>2</v>
      </c>
      <c r="F62" s="15">
        <v>102302.94607600286</v>
      </c>
      <c r="G62" s="15">
        <v>1553.8120170386292</v>
      </c>
      <c r="H62" s="19">
        <v>65.839976106620313</v>
      </c>
    </row>
    <row r="63" spans="1:10">
      <c r="A63" t="s">
        <v>25</v>
      </c>
      <c r="B63">
        <v>21.1</v>
      </c>
      <c r="C63" t="s">
        <v>24</v>
      </c>
      <c r="D63" s="7" t="s">
        <v>16</v>
      </c>
      <c r="E63">
        <v>3</v>
      </c>
      <c r="F63" s="15">
        <v>183441.6553168892</v>
      </c>
      <c r="G63" s="15">
        <v>3445.993315374028</v>
      </c>
      <c r="H63" s="19">
        <v>53.233317226263523</v>
      </c>
    </row>
    <row r="64" spans="1:10">
      <c r="A64" t="s">
        <v>25</v>
      </c>
      <c r="B64">
        <v>21.1</v>
      </c>
      <c r="C64" t="s">
        <v>24</v>
      </c>
      <c r="D64" s="7" t="s">
        <v>16</v>
      </c>
      <c r="E64">
        <v>4</v>
      </c>
      <c r="F64" s="15">
        <v>146156.1507916585</v>
      </c>
      <c r="G64" s="15">
        <v>3022.2353166420198</v>
      </c>
      <c r="H64" s="19">
        <v>48.360281539576263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E1" workbookViewId="0">
      <selection activeCell="L36" sqref="L36"/>
    </sheetView>
  </sheetViews>
  <sheetFormatPr baseColWidth="10" defaultColWidth="8.83203125" defaultRowHeight="14" x14ac:dyDescent="0"/>
  <cols>
    <col min="9" max="9" width="8.83203125" style="16"/>
  </cols>
  <sheetData>
    <row r="1" spans="1:17" ht="15" customHeight="1">
      <c r="A1" s="20" t="s">
        <v>26</v>
      </c>
      <c r="B1" s="20"/>
      <c r="C1" s="20" t="s">
        <v>27</v>
      </c>
      <c r="D1" s="20" t="s">
        <v>2</v>
      </c>
      <c r="E1" s="21" t="s">
        <v>28</v>
      </c>
      <c r="F1" s="21" t="s">
        <v>29</v>
      </c>
      <c r="G1" s="21" t="s">
        <v>1</v>
      </c>
      <c r="H1" s="21"/>
      <c r="I1" s="22" t="s">
        <v>30</v>
      </c>
      <c r="J1" s="22"/>
      <c r="K1" s="22"/>
      <c r="L1" s="22"/>
    </row>
    <row r="2" spans="1:17" ht="15">
      <c r="A2" s="23"/>
      <c r="B2" s="24" t="s">
        <v>9</v>
      </c>
      <c r="C2" s="25" t="s">
        <v>10</v>
      </c>
      <c r="D2" s="25" t="s">
        <v>10</v>
      </c>
      <c r="E2" s="21" t="s">
        <v>2</v>
      </c>
      <c r="F2" s="21" t="s">
        <v>31</v>
      </c>
      <c r="G2" s="21" t="s">
        <v>11</v>
      </c>
      <c r="H2" s="21"/>
      <c r="I2" s="43"/>
      <c r="J2" s="21" t="s">
        <v>28</v>
      </c>
      <c r="K2" s="21" t="s">
        <v>29</v>
      </c>
      <c r="L2" s="21" t="s">
        <v>1</v>
      </c>
    </row>
    <row r="3" spans="1:17" ht="15">
      <c r="A3" s="26" t="s">
        <v>14</v>
      </c>
      <c r="B3" s="26">
        <v>1</v>
      </c>
      <c r="C3" s="27">
        <v>237296</v>
      </c>
      <c r="D3" s="27">
        <v>2510</v>
      </c>
      <c r="E3" s="28">
        <v>94.5</v>
      </c>
      <c r="F3" s="29">
        <v>96.8</v>
      </c>
      <c r="G3" s="28">
        <v>1.3</v>
      </c>
      <c r="H3" s="28"/>
      <c r="I3" s="44"/>
      <c r="J3" s="21" t="s">
        <v>2</v>
      </c>
      <c r="K3" s="21" t="s">
        <v>31</v>
      </c>
      <c r="L3" s="21" t="s">
        <v>11</v>
      </c>
      <c r="O3">
        <v>0</v>
      </c>
      <c r="P3">
        <f>K4/K4</f>
        <v>1</v>
      </c>
      <c r="Q3" s="30">
        <f>3.35124498817929/100</f>
        <v>3.3512449881792895E-2</v>
      </c>
    </row>
    <row r="4" spans="1:17" ht="15">
      <c r="A4" s="26" t="s">
        <v>14</v>
      </c>
      <c r="B4" s="26">
        <v>2</v>
      </c>
      <c r="C4" s="27">
        <v>249424</v>
      </c>
      <c r="D4" s="27">
        <v>2578</v>
      </c>
      <c r="E4" s="28">
        <v>96.8</v>
      </c>
      <c r="F4" s="29"/>
      <c r="G4" s="28"/>
      <c r="H4" s="28"/>
      <c r="I4" s="45" t="s">
        <v>14</v>
      </c>
      <c r="J4" s="28">
        <v>94.5</v>
      </c>
      <c r="K4" s="31">
        <f>AVERAGE(J4:J9)</f>
        <v>97.279955949252397</v>
      </c>
      <c r="L4">
        <f>STDEV(J4:J9)/SQRT(COUNT(J4:J9))</f>
        <v>3.3512449881792898</v>
      </c>
      <c r="M4" s="32"/>
      <c r="N4" s="32"/>
      <c r="O4">
        <v>50</v>
      </c>
      <c r="P4">
        <f>K10/K4</f>
        <v>0.98717792621346179</v>
      </c>
      <c r="Q4" s="30">
        <f>4.72171693389781/100</f>
        <v>4.7217169338978106E-2</v>
      </c>
    </row>
    <row r="5" spans="1:17" ht="14" customHeight="1">
      <c r="A5" s="26" t="s">
        <v>14</v>
      </c>
      <c r="B5" s="26">
        <v>3</v>
      </c>
      <c r="C5" s="27">
        <v>247808</v>
      </c>
      <c r="D5" s="27">
        <v>2504</v>
      </c>
      <c r="E5" s="28">
        <v>99</v>
      </c>
      <c r="F5" s="29"/>
      <c r="G5" s="28"/>
      <c r="H5" s="28"/>
      <c r="I5" s="45" t="s">
        <v>14</v>
      </c>
      <c r="J5" s="28">
        <v>96.8</v>
      </c>
      <c r="K5" s="33"/>
      <c r="O5">
        <v>100</v>
      </c>
      <c r="P5">
        <f>K16/K4</f>
        <v>1.0880367713725767</v>
      </c>
      <c r="Q5" s="30">
        <f>4.90883829997963/100</f>
        <v>4.9088382999796301E-2</v>
      </c>
    </row>
    <row r="6" spans="1:17" ht="14" customHeight="1">
      <c r="A6" s="26">
        <v>50</v>
      </c>
      <c r="B6" s="26">
        <v>1</v>
      </c>
      <c r="C6" s="27">
        <v>259347</v>
      </c>
      <c r="D6" s="27">
        <v>2444</v>
      </c>
      <c r="E6" s="28">
        <v>106.1</v>
      </c>
      <c r="F6" s="29">
        <v>99.8</v>
      </c>
      <c r="G6" s="28">
        <v>3.9</v>
      </c>
      <c r="H6" s="28"/>
      <c r="I6" s="45" t="s">
        <v>14</v>
      </c>
      <c r="J6" s="28">
        <v>99</v>
      </c>
      <c r="K6" s="31"/>
      <c r="M6" s="32"/>
      <c r="N6" s="32"/>
      <c r="O6">
        <v>150</v>
      </c>
      <c r="P6">
        <f>K22/K4</f>
        <v>1.0129184551900767</v>
      </c>
      <c r="Q6" s="30">
        <f>14.6025258446899/100</f>
        <v>0.14602525844689901</v>
      </c>
    </row>
    <row r="7" spans="1:17" ht="14" customHeight="1">
      <c r="A7" s="26">
        <v>50</v>
      </c>
      <c r="B7" s="26">
        <v>2</v>
      </c>
      <c r="C7" s="27">
        <v>224780</v>
      </c>
      <c r="D7" s="27">
        <v>2426</v>
      </c>
      <c r="E7" s="28">
        <v>92.6</v>
      </c>
      <c r="F7" s="29"/>
      <c r="G7" s="28"/>
      <c r="H7" s="28"/>
      <c r="I7" s="45" t="s">
        <v>14</v>
      </c>
      <c r="J7" s="34">
        <v>84.55492276055638</v>
      </c>
      <c r="K7" s="33"/>
    </row>
    <row r="8" spans="1:17" ht="14" customHeight="1">
      <c r="A8" s="26">
        <v>50</v>
      </c>
      <c r="B8" s="26">
        <v>3</v>
      </c>
      <c r="C8" s="27">
        <v>254889</v>
      </c>
      <c r="D8" s="27">
        <v>2534</v>
      </c>
      <c r="E8" s="28">
        <v>100.6</v>
      </c>
      <c r="F8" s="29"/>
      <c r="G8" s="28"/>
      <c r="H8" s="28"/>
      <c r="I8" s="45" t="s">
        <v>14</v>
      </c>
      <c r="J8" s="34">
        <v>98.829483650930783</v>
      </c>
      <c r="K8" s="31"/>
      <c r="M8" s="32"/>
      <c r="N8" s="32"/>
    </row>
    <row r="9" spans="1:17" ht="15">
      <c r="A9" s="26">
        <v>100</v>
      </c>
      <c r="B9" s="26">
        <v>1</v>
      </c>
      <c r="C9" s="27">
        <v>290916</v>
      </c>
      <c r="D9" s="27">
        <v>2492</v>
      </c>
      <c r="E9" s="28">
        <v>116.7</v>
      </c>
      <c r="F9" s="29">
        <v>104.4</v>
      </c>
      <c r="G9" s="28">
        <v>9.9</v>
      </c>
      <c r="H9" s="28"/>
      <c r="I9" s="45" t="s">
        <v>14</v>
      </c>
      <c r="J9" s="34">
        <v>109.99532928402718</v>
      </c>
      <c r="K9" s="31"/>
    </row>
    <row r="10" spans="1:17" ht="14" customHeight="1">
      <c r="A10" s="26">
        <v>100</v>
      </c>
      <c r="B10" s="26">
        <v>2</v>
      </c>
      <c r="C10" s="27">
        <v>195667</v>
      </c>
      <c r="D10" s="27">
        <v>2306</v>
      </c>
      <c r="E10" s="28">
        <v>84.8</v>
      </c>
      <c r="F10" s="29"/>
      <c r="G10" s="28"/>
      <c r="H10" s="28"/>
      <c r="I10" s="45">
        <v>50</v>
      </c>
      <c r="J10" s="28">
        <v>106.1</v>
      </c>
      <c r="K10" s="31">
        <f>AVERAGE(J10:J15)</f>
        <v>96.032625176119893</v>
      </c>
      <c r="L10">
        <f>STDEV(J10:J15)/SQRT(COUNT(J10:J15))</f>
        <v>4.7217169338978122</v>
      </c>
      <c r="M10" s="32"/>
      <c r="N10" s="32"/>
    </row>
    <row r="11" spans="1:17" ht="14" customHeight="1">
      <c r="A11" s="26">
        <v>100</v>
      </c>
      <c r="B11" s="26">
        <v>3</v>
      </c>
      <c r="C11" s="27">
        <v>261039</v>
      </c>
      <c r="D11" s="27">
        <v>2340</v>
      </c>
      <c r="E11" s="28">
        <v>111.6</v>
      </c>
      <c r="F11" s="29"/>
      <c r="G11" s="28"/>
      <c r="H11" s="28"/>
      <c r="I11" s="45">
        <v>50</v>
      </c>
      <c r="J11" s="28">
        <v>92.6</v>
      </c>
      <c r="K11" s="33"/>
      <c r="N11" s="35"/>
    </row>
    <row r="12" spans="1:17" ht="14" customHeight="1">
      <c r="A12" s="26">
        <v>150</v>
      </c>
      <c r="B12" s="26">
        <v>1</v>
      </c>
      <c r="C12" s="27">
        <v>349763</v>
      </c>
      <c r="D12" s="27">
        <v>2609</v>
      </c>
      <c r="E12" s="28">
        <v>134.1</v>
      </c>
      <c r="F12" s="29">
        <v>130.5</v>
      </c>
      <c r="G12" s="28">
        <v>2</v>
      </c>
      <c r="H12" s="28"/>
      <c r="I12" s="45">
        <v>50</v>
      </c>
      <c r="J12" s="28">
        <v>100.6</v>
      </c>
    </row>
    <row r="13" spans="1:17" ht="14" customHeight="1">
      <c r="A13" s="26">
        <v>150</v>
      </c>
      <c r="B13" s="26">
        <v>2</v>
      </c>
      <c r="C13" s="27">
        <v>311133</v>
      </c>
      <c r="D13" s="27">
        <v>2444</v>
      </c>
      <c r="E13" s="28">
        <v>127.3</v>
      </c>
      <c r="F13" s="29"/>
      <c r="G13" s="28"/>
      <c r="H13" s="28"/>
      <c r="I13" s="45">
        <v>50</v>
      </c>
      <c r="J13" s="34">
        <v>107.83526072993114</v>
      </c>
    </row>
    <row r="14" spans="1:17" ht="15">
      <c r="A14" s="26">
        <v>150</v>
      </c>
      <c r="B14" s="26">
        <v>3</v>
      </c>
      <c r="C14" s="27">
        <v>310460</v>
      </c>
      <c r="D14" s="27">
        <v>2386</v>
      </c>
      <c r="E14" s="28">
        <v>130.1</v>
      </c>
      <c r="F14" s="29"/>
      <c r="G14" s="28"/>
      <c r="H14" s="28"/>
      <c r="I14" s="45">
        <v>50</v>
      </c>
      <c r="J14" s="34">
        <v>92.621313138614894</v>
      </c>
    </row>
    <row r="15" spans="1:17" ht="14" customHeight="1">
      <c r="A15" s="26"/>
      <c r="B15" s="26"/>
      <c r="C15" s="26"/>
      <c r="D15" s="26"/>
      <c r="E15" s="26"/>
      <c r="F15" s="26"/>
      <c r="G15" s="26"/>
      <c r="H15" s="26"/>
      <c r="I15" s="45">
        <v>50</v>
      </c>
      <c r="J15" s="34">
        <v>76.43917718817336</v>
      </c>
    </row>
    <row r="16" spans="1:17" ht="14" customHeight="1">
      <c r="A16" s="26"/>
      <c r="B16" s="26"/>
      <c r="C16" s="26"/>
      <c r="D16" s="26"/>
      <c r="E16" s="26"/>
      <c r="F16" s="26"/>
      <c r="G16" s="26"/>
      <c r="H16" s="26"/>
      <c r="I16" s="46">
        <v>100</v>
      </c>
      <c r="J16" s="28">
        <v>116.7</v>
      </c>
      <c r="K16" s="5">
        <f>AVERAGE(J16:J21)</f>
        <v>105.84416919029105</v>
      </c>
      <c r="L16">
        <f>STDEV(J16:J21)/SQRT(COUNT(J16:J21))</f>
        <v>4.9088382999796281</v>
      </c>
      <c r="N16" s="36"/>
    </row>
    <row r="17" spans="1:14" ht="14" customHeight="1">
      <c r="A17" s="37" t="s">
        <v>32</v>
      </c>
      <c r="B17" s="37"/>
      <c r="C17" s="37" t="s">
        <v>27</v>
      </c>
      <c r="D17" s="37" t="s">
        <v>2</v>
      </c>
      <c r="E17" s="38" t="s">
        <v>28</v>
      </c>
      <c r="F17" s="38" t="s">
        <v>1</v>
      </c>
      <c r="G17" s="38" t="s">
        <v>1</v>
      </c>
      <c r="H17" s="38"/>
      <c r="I17" s="46">
        <v>100</v>
      </c>
      <c r="J17" s="28">
        <v>84.8</v>
      </c>
      <c r="N17" s="33"/>
    </row>
    <row r="18" spans="1:14" ht="14" customHeight="1">
      <c r="A18" s="23"/>
      <c r="B18" s="24" t="s">
        <v>9</v>
      </c>
      <c r="C18" s="25" t="s">
        <v>10</v>
      </c>
      <c r="D18" s="25" t="s">
        <v>10</v>
      </c>
      <c r="E18" s="38" t="s">
        <v>2</v>
      </c>
      <c r="F18" s="38" t="s">
        <v>31</v>
      </c>
      <c r="G18" s="38" t="s">
        <v>11</v>
      </c>
      <c r="H18" s="38"/>
      <c r="I18" s="46">
        <v>100</v>
      </c>
      <c r="J18" s="28">
        <v>111.6</v>
      </c>
      <c r="N18" s="36"/>
    </row>
    <row r="19" spans="1:14">
      <c r="A19" s="39" t="s">
        <v>14</v>
      </c>
      <c r="B19" s="39">
        <v>1</v>
      </c>
      <c r="C19" s="40">
        <v>361997.1782552732</v>
      </c>
      <c r="D19" s="40">
        <v>4281.2076037297211</v>
      </c>
      <c r="E19" s="34">
        <f>C19/D19</f>
        <v>84.55492276055638</v>
      </c>
      <c r="F19" s="41">
        <f>AVERAGE(E19:E21)</f>
        <v>97.793245231838114</v>
      </c>
      <c r="G19" s="34">
        <f>STDEV(E19:E21)/SQRT(COUNT(E17:E21))</f>
        <v>7.3622667153933374</v>
      </c>
      <c r="H19" s="34"/>
      <c r="I19" s="46">
        <v>100</v>
      </c>
      <c r="J19" s="34">
        <v>98.369388970002163</v>
      </c>
      <c r="N19" s="33"/>
    </row>
    <row r="20" spans="1:14">
      <c r="A20" s="39" t="s">
        <v>14</v>
      </c>
      <c r="B20" s="39">
        <v>2</v>
      </c>
      <c r="C20" s="40">
        <v>391279.3757082157</v>
      </c>
      <c r="D20" s="40">
        <v>3959.136092324718</v>
      </c>
      <c r="E20" s="34">
        <f>C20/D20</f>
        <v>98.829483650930783</v>
      </c>
      <c r="F20" s="41"/>
      <c r="G20" s="34"/>
      <c r="H20" s="34"/>
      <c r="I20" s="46">
        <v>100</v>
      </c>
      <c r="J20" s="34">
        <v>110.72519822969063</v>
      </c>
      <c r="N20" s="36"/>
    </row>
    <row r="21" spans="1:14">
      <c r="A21" s="39" t="s">
        <v>14</v>
      </c>
      <c r="B21" s="39">
        <v>3</v>
      </c>
      <c r="C21" s="40">
        <v>423898.91996836686</v>
      </c>
      <c r="D21" s="40">
        <v>3853.7901811611082</v>
      </c>
      <c r="E21" s="34">
        <f>C21/D21</f>
        <v>109.99532928402718</v>
      </c>
      <c r="F21" s="41"/>
      <c r="G21" s="34"/>
      <c r="H21" s="34"/>
      <c r="I21" s="46">
        <v>100</v>
      </c>
      <c r="J21" s="34">
        <v>112.87042794205358</v>
      </c>
      <c r="N21" s="36"/>
    </row>
    <row r="22" spans="1:14" ht="14" customHeight="1">
      <c r="A22" s="39">
        <v>50</v>
      </c>
      <c r="B22" s="39">
        <v>1</v>
      </c>
      <c r="C22" s="40">
        <v>372073.00642520312</v>
      </c>
      <c r="D22" s="40">
        <v>3450.3835193299551</v>
      </c>
      <c r="E22" s="34">
        <f>C22/D22</f>
        <v>107.83526072993114</v>
      </c>
      <c r="F22" s="41">
        <f>AVERAGE(E22:E24)</f>
        <v>92.298583685573135</v>
      </c>
      <c r="G22" s="34">
        <f>STDEV(E22:E24)/SQRT(COUNT(E20:E24))</f>
        <v>7.0214903142445459</v>
      </c>
      <c r="H22" s="34"/>
      <c r="I22" s="46">
        <v>150</v>
      </c>
      <c r="J22" s="28">
        <v>134.1</v>
      </c>
      <c r="K22" s="5">
        <f>AVERAGE(J22:J27)</f>
        <v>98.536662701075443</v>
      </c>
      <c r="L22">
        <f>STDEV(J22:J27)/SQRT(COUNT(J22:J27))</f>
        <v>14.602525844689881</v>
      </c>
      <c r="N22" s="36"/>
    </row>
    <row r="23" spans="1:14" ht="14" customHeight="1">
      <c r="A23" s="39">
        <v>50</v>
      </c>
      <c r="B23" s="39">
        <v>2</v>
      </c>
      <c r="C23" s="40">
        <v>368683.61520067934</v>
      </c>
      <c r="D23" s="40">
        <v>3980.5483501288313</v>
      </c>
      <c r="E23" s="34">
        <f>C23/D23</f>
        <v>92.621313138614894</v>
      </c>
      <c r="F23" s="41"/>
      <c r="G23" s="34"/>
      <c r="H23" s="34"/>
      <c r="I23" s="46">
        <v>150</v>
      </c>
      <c r="J23" s="28">
        <v>127.3</v>
      </c>
      <c r="N23" s="33"/>
    </row>
    <row r="24" spans="1:14" ht="14" customHeight="1">
      <c r="A24" s="39">
        <v>50</v>
      </c>
      <c r="B24" s="39">
        <v>3</v>
      </c>
      <c r="C24" s="40">
        <v>322868.82210488152</v>
      </c>
      <c r="D24" s="40">
        <v>4223.8657450493283</v>
      </c>
      <c r="E24" s="34">
        <f>C24/D24</f>
        <v>76.43917718817336</v>
      </c>
      <c r="F24" s="41"/>
      <c r="G24" s="34"/>
      <c r="H24" s="34"/>
      <c r="I24" s="46">
        <v>150</v>
      </c>
      <c r="J24" s="28">
        <v>130.1</v>
      </c>
    </row>
    <row r="25" spans="1:14" ht="14" customHeight="1">
      <c r="A25" s="39">
        <v>100</v>
      </c>
      <c r="B25" s="39">
        <v>1</v>
      </c>
      <c r="C25" s="40">
        <v>407728.8330685331</v>
      </c>
      <c r="D25" s="40">
        <v>4144.87512159774</v>
      </c>
      <c r="E25" s="34">
        <f>C25/D25</f>
        <v>98.369388970002163</v>
      </c>
      <c r="F25" s="41">
        <f>AVERAGE(E25:E27)</f>
        <v>107.32167171391546</v>
      </c>
      <c r="G25" s="34">
        <f>STDEV(E25:E27)/SQRT(COUNT(E23:E27))</f>
        <v>3.5002293460551135</v>
      </c>
      <c r="H25" s="34"/>
      <c r="I25" s="46">
        <v>150</v>
      </c>
      <c r="J25" s="34">
        <v>79.199006295858936</v>
      </c>
    </row>
    <row r="26" spans="1:14">
      <c r="A26" s="39">
        <v>100</v>
      </c>
      <c r="B26" s="39">
        <v>2</v>
      </c>
      <c r="C26" s="40">
        <v>437195.47724506597</v>
      </c>
      <c r="D26" s="40">
        <v>3948.4731952173943</v>
      </c>
      <c r="E26" s="34">
        <f>C26/D26</f>
        <v>110.72519822969063</v>
      </c>
      <c r="F26" s="41"/>
      <c r="G26" s="34"/>
      <c r="H26" s="34"/>
      <c r="I26" s="46">
        <v>150</v>
      </c>
      <c r="J26" s="34">
        <v>61.778957311237413</v>
      </c>
    </row>
    <row r="27" spans="1:14" ht="14" customHeight="1">
      <c r="A27" s="39">
        <v>100</v>
      </c>
      <c r="B27" s="39">
        <v>3</v>
      </c>
      <c r="C27" s="40">
        <v>474184.99208597164</v>
      </c>
      <c r="D27" s="40">
        <v>4201.1446286835462</v>
      </c>
      <c r="E27" s="34">
        <f>C27/D27</f>
        <v>112.87042794205358</v>
      </c>
      <c r="F27" s="41"/>
      <c r="G27" s="34"/>
      <c r="H27" s="34"/>
      <c r="I27" s="46">
        <v>150</v>
      </c>
      <c r="J27" s="34">
        <v>58.742012599356428</v>
      </c>
    </row>
    <row r="28" spans="1:14" ht="14" customHeight="1">
      <c r="A28" s="39">
        <v>150</v>
      </c>
      <c r="B28" s="39">
        <v>1</v>
      </c>
      <c r="C28" s="40">
        <v>322131.00519117183</v>
      </c>
      <c r="D28" s="40">
        <v>4067.3617038553052</v>
      </c>
      <c r="E28" s="34">
        <f>C28/D28</f>
        <v>79.199006295858936</v>
      </c>
      <c r="F28" s="41">
        <f>AVERAGE(E28:E30)</f>
        <v>66.573325402150928</v>
      </c>
      <c r="G28" s="34">
        <f>STDEV(E28:E30)/SQRT(COUNT(E26:E30))</f>
        <v>4.9368334348662017</v>
      </c>
      <c r="H28" s="34"/>
      <c r="I28" s="47"/>
      <c r="J28" s="42"/>
    </row>
    <row r="29" spans="1:14" ht="14" customHeight="1">
      <c r="A29" s="39">
        <v>150</v>
      </c>
      <c r="B29" s="39">
        <v>2</v>
      </c>
      <c r="C29" s="40">
        <v>265202.79612911859</v>
      </c>
      <c r="D29" s="40">
        <v>4292.7690539199011</v>
      </c>
      <c r="E29" s="34">
        <f>C29/D29</f>
        <v>61.778957311237413</v>
      </c>
      <c r="F29" s="41"/>
      <c r="G29" s="34"/>
      <c r="H29" s="34"/>
      <c r="I29" s="47"/>
      <c r="J29" s="42"/>
    </row>
    <row r="30" spans="1:14" ht="14" customHeight="1">
      <c r="A30" s="39">
        <v>150</v>
      </c>
      <c r="B30" s="39">
        <v>3</v>
      </c>
      <c r="C30" s="40">
        <v>244795.1141588609</v>
      </c>
      <c r="D30" s="40">
        <v>4167.2919147060829</v>
      </c>
      <c r="E30" s="34">
        <f>C30/D30</f>
        <v>58.742012599356428</v>
      </c>
      <c r="F30" s="41"/>
      <c r="G30" s="34"/>
      <c r="H30" s="34"/>
      <c r="I30" s="47"/>
      <c r="J30" s="42"/>
    </row>
    <row r="31" spans="1:14">
      <c r="A31" s="42"/>
      <c r="B31" s="42"/>
      <c r="C31" s="42"/>
      <c r="D31" s="42"/>
      <c r="E31" s="42"/>
      <c r="F31" s="42"/>
      <c r="G31" s="42"/>
      <c r="H31" s="42"/>
      <c r="I31" s="48"/>
      <c r="J31" s="42"/>
    </row>
    <row r="32" spans="1:14" ht="14" customHeight="1"/>
    <row r="33" ht="14" customHeight="1"/>
    <row r="34" ht="14" customHeight="1"/>
    <row r="35" ht="14" customHeight="1"/>
  </sheetData>
  <mergeCells count="1">
    <mergeCell ref="I1:L1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pane xSplit="1" topLeftCell="C1" activePane="topRight" state="frozen"/>
      <selection pane="topRight" activeCell="D1" sqref="D1:D1048576"/>
    </sheetView>
  </sheetViews>
  <sheetFormatPr baseColWidth="10" defaultColWidth="8.83203125" defaultRowHeight="14" x14ac:dyDescent="0"/>
  <cols>
    <col min="1" max="1" width="11.1640625" customWidth="1"/>
    <col min="2" max="2" width="5.33203125" customWidth="1"/>
    <col min="3" max="3" width="4.83203125" customWidth="1"/>
    <col min="4" max="4" width="17.33203125" customWidth="1"/>
    <col min="5" max="5" width="16" customWidth="1"/>
    <col min="6" max="6" width="12.5" customWidth="1"/>
    <col min="7" max="7" width="14.33203125" style="5" customWidth="1"/>
    <col min="8" max="8" width="17.5" customWidth="1"/>
    <col min="9" max="9" width="16.5" customWidth="1"/>
    <col min="10" max="10" width="21.5" customWidth="1"/>
  </cols>
  <sheetData>
    <row r="1" spans="1:14" ht="18">
      <c r="A1" s="1"/>
      <c r="B1" s="1"/>
      <c r="C1" s="1"/>
      <c r="D1" s="1" t="s">
        <v>33</v>
      </c>
      <c r="E1" s="1" t="s">
        <v>34</v>
      </c>
      <c r="F1" s="2" t="s">
        <v>35</v>
      </c>
      <c r="G1" s="3"/>
      <c r="I1" s="2" t="s">
        <v>36</v>
      </c>
      <c r="J1" s="2" t="s">
        <v>37</v>
      </c>
    </row>
    <row r="2" spans="1:14" ht="18">
      <c r="A2" s="1" t="s">
        <v>5</v>
      </c>
      <c r="B2" s="1" t="s">
        <v>8</v>
      </c>
      <c r="C2" s="1" t="s">
        <v>9</v>
      </c>
      <c r="D2" s="4" t="s">
        <v>10</v>
      </c>
      <c r="E2" s="4" t="s">
        <v>10</v>
      </c>
      <c r="F2" s="2" t="s">
        <v>34</v>
      </c>
      <c r="G2" s="3" t="s">
        <v>4</v>
      </c>
      <c r="H2" s="2" t="s">
        <v>38</v>
      </c>
      <c r="I2" s="2" t="s">
        <v>39</v>
      </c>
      <c r="J2" s="2" t="s">
        <v>40</v>
      </c>
    </row>
    <row r="3" spans="1:14">
      <c r="A3" t="s">
        <v>22</v>
      </c>
      <c r="B3">
        <v>1</v>
      </c>
      <c r="C3">
        <v>1</v>
      </c>
      <c r="D3" s="8">
        <v>98923.382443234877</v>
      </c>
      <c r="E3" s="8">
        <v>3263.6234859074543</v>
      </c>
      <c r="F3" s="12">
        <f>D3/E3</f>
        <v>30.310905308284703</v>
      </c>
      <c r="G3" s="5">
        <f>AVERAGE(F3,F4,F5,F6)</f>
        <v>31.250210597899446</v>
      </c>
      <c r="H3" s="32">
        <f>STDEV(F3:F6)/SQRT(COUNT(F3:F6))</f>
        <v>1.1012532208564865</v>
      </c>
      <c r="I3" s="5">
        <f>AVERAGE(F3:F6,F8,F10:F14)</f>
        <v>29.387909220449366</v>
      </c>
      <c r="J3" s="32">
        <f>STDEV(G3:G14)/SQRT(COUNT(G3:G14))</f>
        <v>1.3687211001196671</v>
      </c>
      <c r="L3" t="s">
        <v>22</v>
      </c>
      <c r="M3">
        <f>29.4/29.4</f>
        <v>1</v>
      </c>
      <c r="N3" s="32">
        <f>(STDEV(G3:G14)/SQRT(COUNT(G3:G14)))/100</f>
        <v>1.3687211001196671E-2</v>
      </c>
    </row>
    <row r="4" spans="1:14">
      <c r="A4" t="s">
        <v>22</v>
      </c>
      <c r="B4">
        <v>1</v>
      </c>
      <c r="C4">
        <v>2</v>
      </c>
      <c r="D4" s="8">
        <v>116125.4500278116</v>
      </c>
      <c r="E4" s="8">
        <v>3830.8797904837647</v>
      </c>
      <c r="F4" s="12">
        <f>D4/E4</f>
        <v>30.312997634714936</v>
      </c>
      <c r="L4">
        <v>3</v>
      </c>
      <c r="M4">
        <f>31.1/29.4</f>
        <v>1.0578231292517009</v>
      </c>
      <c r="N4" s="32">
        <f>(STDEV(G16:G27)/SQRT(COUNT(G16:G27)))/100</f>
        <v>5.9954489879368723E-2</v>
      </c>
    </row>
    <row r="5" spans="1:14">
      <c r="A5" t="s">
        <v>22</v>
      </c>
      <c r="B5">
        <v>1</v>
      </c>
      <c r="C5">
        <v>3</v>
      </c>
      <c r="D5" s="8">
        <v>93850.347199983444</v>
      </c>
      <c r="E5" s="8">
        <v>3145.1318983819297</v>
      </c>
      <c r="F5" s="12">
        <f>D5/E5</f>
        <v>29.839876428796664</v>
      </c>
      <c r="L5">
        <v>30</v>
      </c>
      <c r="M5">
        <f>28.3/29.4</f>
        <v>0.96258503401360551</v>
      </c>
      <c r="N5">
        <f>(STDEV(G29:G40)/SQRT(COUNT(G29:G40)))/100</f>
        <v>3.740411403882906E-2</v>
      </c>
    </row>
    <row r="6" spans="1:14">
      <c r="A6" t="s">
        <v>22</v>
      </c>
      <c r="B6">
        <v>1</v>
      </c>
      <c r="C6">
        <v>4</v>
      </c>
      <c r="D6" s="8">
        <v>99397.948013766407</v>
      </c>
      <c r="E6" s="8">
        <v>2878.0081258437517</v>
      </c>
      <c r="F6" s="12">
        <f>D6/E6</f>
        <v>34.537063019801479</v>
      </c>
      <c r="L6">
        <v>100</v>
      </c>
      <c r="M6">
        <f>29.4/29.4</f>
        <v>1</v>
      </c>
      <c r="N6">
        <f>(STDEV(G42:G53)/SQRT(COUNT(G42:G53)))/100</f>
        <v>2.7857330416578147E-2</v>
      </c>
    </row>
    <row r="7" spans="1:14">
      <c r="A7" t="s">
        <v>22</v>
      </c>
      <c r="B7">
        <v>2</v>
      </c>
      <c r="C7">
        <v>1</v>
      </c>
      <c r="D7" s="8">
        <v>96353.483530666243</v>
      </c>
      <c r="E7" s="8"/>
      <c r="F7" s="12"/>
      <c r="G7" s="5">
        <f t="shared" ref="G7" si="0">AVERAGE(F7,F8,F9,F10)</f>
        <v>26.50982874526305</v>
      </c>
      <c r="H7" s="32">
        <f t="shared" ref="H7" si="1">STDEV(F7:F10)/SQRT(COUNT(F7:F10))</f>
        <v>4.9795119469766904</v>
      </c>
    </row>
    <row r="8" spans="1:14">
      <c r="A8" t="s">
        <v>22</v>
      </c>
      <c r="B8">
        <v>2</v>
      </c>
      <c r="C8">
        <v>2</v>
      </c>
      <c r="D8" s="8">
        <v>82276.952787276823</v>
      </c>
      <c r="E8" s="8">
        <v>3821.4464542307824</v>
      </c>
      <c r="F8" s="12">
        <f>D8/E8</f>
        <v>21.53031679828635</v>
      </c>
    </row>
    <row r="9" spans="1:14">
      <c r="A9" t="s">
        <v>22</v>
      </c>
      <c r="B9">
        <v>2</v>
      </c>
      <c r="C9">
        <v>3</v>
      </c>
      <c r="D9" s="8">
        <v>87768.247329602091</v>
      </c>
      <c r="E9" s="8"/>
      <c r="F9" s="12"/>
    </row>
    <row r="10" spans="1:14">
      <c r="A10" t="s">
        <v>22</v>
      </c>
      <c r="B10">
        <v>2</v>
      </c>
      <c r="C10">
        <v>4</v>
      </c>
      <c r="D10" s="8">
        <v>103277.35551215927</v>
      </c>
      <c r="E10" s="8">
        <v>3279.7560457533173</v>
      </c>
      <c r="F10" s="12">
        <f>D10/E10</f>
        <v>31.48934069223975</v>
      </c>
    </row>
    <row r="11" spans="1:14">
      <c r="A11" t="s">
        <v>22</v>
      </c>
      <c r="B11">
        <v>3</v>
      </c>
      <c r="C11">
        <v>1</v>
      </c>
      <c r="D11" s="8">
        <v>117382.66029717376</v>
      </c>
      <c r="E11" s="8">
        <v>3821.4464542307824</v>
      </c>
      <c r="F11" s="12">
        <f>D11/E11</f>
        <v>30.716814092008956</v>
      </c>
      <c r="G11" s="5">
        <f t="shared" ref="G11" si="2">AVERAGE(F11,F12,F13,F14)</f>
        <v>28.964648080592433</v>
      </c>
      <c r="H11" s="32">
        <f t="shared" ref="H11" si="3">STDEV(F11:F14)/SQRT(COUNT(F11:F14))</f>
        <v>2.3751234677568416</v>
      </c>
    </row>
    <row r="12" spans="1:14">
      <c r="A12" t="s">
        <v>22</v>
      </c>
      <c r="B12">
        <v>3</v>
      </c>
      <c r="C12">
        <v>2</v>
      </c>
      <c r="D12" s="8">
        <v>78808.315980568324</v>
      </c>
      <c r="E12" s="8">
        <v>2470.0501926470733</v>
      </c>
      <c r="F12" s="12">
        <f>D12/E12</f>
        <v>31.905552451997742</v>
      </c>
    </row>
    <row r="13" spans="1:14">
      <c r="A13" t="s">
        <v>22</v>
      </c>
      <c r="B13">
        <v>3</v>
      </c>
      <c r="C13">
        <v>3</v>
      </c>
      <c r="D13" s="8">
        <v>67295.004348383023</v>
      </c>
      <c r="E13" s="8">
        <v>3076.1120533056337</v>
      </c>
      <c r="F13" s="12">
        <f>D13/E13</f>
        <v>21.876642717246551</v>
      </c>
    </row>
    <row r="14" spans="1:14">
      <c r="A14" t="s">
        <v>22</v>
      </c>
      <c r="B14">
        <v>3</v>
      </c>
      <c r="C14">
        <v>4</v>
      </c>
      <c r="D14" s="8">
        <v>85488.144104261577</v>
      </c>
      <c r="E14" s="8">
        <v>2726.0612469768594</v>
      </c>
      <c r="F14" s="12">
        <f>D14/E14</f>
        <v>31.359583061116474</v>
      </c>
    </row>
    <row r="15" spans="1:14">
      <c r="D15" s="8"/>
      <c r="E15" s="8"/>
      <c r="F15" s="12"/>
    </row>
    <row r="16" spans="1:14">
      <c r="A16" t="s">
        <v>41</v>
      </c>
      <c r="B16">
        <v>1</v>
      </c>
      <c r="C16">
        <v>1</v>
      </c>
      <c r="D16" s="8">
        <v>125067.23821961341</v>
      </c>
      <c r="E16" s="8">
        <v>3030.9423562286484</v>
      </c>
      <c r="F16" s="12">
        <f>D16/E16</f>
        <v>41.263482943711445</v>
      </c>
      <c r="G16" s="5">
        <f t="shared" ref="G16" si="4">AVERAGE(F16,F17,F18,F19)</f>
        <v>42.239200552520082</v>
      </c>
      <c r="H16" s="32">
        <f t="shared" ref="H16" si="5">STDEV(F16:F19)/SQRT(COUNT(F16:F19))</f>
        <v>9.5512879390401544</v>
      </c>
      <c r="I16" s="5">
        <f>AVERAGE(F16:F27)</f>
        <v>31.078785477548781</v>
      </c>
      <c r="J16" s="32">
        <f>STDEV(G16:G27)/SQRT(COUNT(G16:G27))</f>
        <v>5.9954489879368724</v>
      </c>
    </row>
    <row r="17" spans="1:10">
      <c r="A17" t="s">
        <v>41</v>
      </c>
      <c r="B17">
        <v>1</v>
      </c>
      <c r="C17">
        <v>2</v>
      </c>
      <c r="D17" s="8">
        <v>103524.78557007124</v>
      </c>
      <c r="E17" s="8">
        <v>1490.0570506136264</v>
      </c>
      <c r="F17" s="12">
        <f>D17/E17</f>
        <v>69.477061651725535</v>
      </c>
    </row>
    <row r="18" spans="1:10">
      <c r="A18" t="s">
        <v>41</v>
      </c>
      <c r="B18">
        <v>1</v>
      </c>
      <c r="C18">
        <v>3</v>
      </c>
      <c r="D18" s="8">
        <v>117523.18782774452</v>
      </c>
      <c r="E18" s="8">
        <v>3793.2855913220619</v>
      </c>
      <c r="F18" s="12">
        <f>D18/E18</f>
        <v>30.981898145661248</v>
      </c>
    </row>
    <row r="19" spans="1:10">
      <c r="A19" t="s">
        <v>41</v>
      </c>
      <c r="B19">
        <v>1</v>
      </c>
      <c r="C19">
        <v>4</v>
      </c>
      <c r="D19" s="8">
        <v>86932.166544272157</v>
      </c>
      <c r="E19" s="8">
        <v>3192.0033457471786</v>
      </c>
      <c r="F19" s="12">
        <f>D19/E19</f>
        <v>27.234359468982081</v>
      </c>
    </row>
    <row r="20" spans="1:10">
      <c r="A20" t="s">
        <v>41</v>
      </c>
      <c r="B20">
        <v>2</v>
      </c>
      <c r="C20">
        <v>1</v>
      </c>
      <c r="D20" s="8">
        <v>62334.351445129389</v>
      </c>
      <c r="E20" s="8">
        <v>3540.2559387402971</v>
      </c>
      <c r="F20" s="12">
        <f>D20/E20</f>
        <v>17.607300862917089</v>
      </c>
      <c r="G20" s="5">
        <f t="shared" ref="G20" si="6">AVERAGE(F20,F21,F22,F23)</f>
        <v>21.701200263741633</v>
      </c>
      <c r="H20" s="32">
        <f t="shared" ref="H20" si="7">STDEV(F20:F23)/SQRT(COUNT(F20:F23))</f>
        <v>2.3578745377223083</v>
      </c>
    </row>
    <row r="21" spans="1:10">
      <c r="A21" t="s">
        <v>41</v>
      </c>
      <c r="B21">
        <v>2</v>
      </c>
      <c r="C21">
        <v>2</v>
      </c>
      <c r="D21" s="8">
        <v>109644.25344429683</v>
      </c>
      <c r="E21" s="8">
        <v>3849.8163797530688</v>
      </c>
      <c r="F21" s="12">
        <f>D21/E21</f>
        <v>28.480385199911673</v>
      </c>
    </row>
    <row r="22" spans="1:10">
      <c r="A22" t="s">
        <v>41</v>
      </c>
      <c r="B22">
        <v>2</v>
      </c>
      <c r="C22">
        <v>3</v>
      </c>
      <c r="D22" s="8">
        <v>82080.306244317922</v>
      </c>
      <c r="E22" s="8">
        <v>3945.9127088888508</v>
      </c>
      <c r="F22" s="12">
        <f>D22/E22</f>
        <v>20.801348711900758</v>
      </c>
    </row>
    <row r="23" spans="1:10">
      <c r="A23" t="s">
        <v>41</v>
      </c>
      <c r="B23">
        <v>2</v>
      </c>
      <c r="C23">
        <v>4</v>
      </c>
      <c r="D23" s="8">
        <v>73524.885859603528</v>
      </c>
      <c r="E23" s="8">
        <v>3691.7929656849001</v>
      </c>
      <c r="F23" s="12">
        <f>D23/E23</f>
        <v>19.915766280237012</v>
      </c>
    </row>
    <row r="24" spans="1:10">
      <c r="A24" t="s">
        <v>41</v>
      </c>
      <c r="B24">
        <v>3</v>
      </c>
      <c r="C24">
        <v>1</v>
      </c>
      <c r="D24" s="8">
        <v>106795.84045298419</v>
      </c>
      <c r="E24" s="8">
        <v>4290.9438307902237</v>
      </c>
      <c r="F24" s="12">
        <f>D24/E24</f>
        <v>24.88865961997843</v>
      </c>
      <c r="G24" s="5">
        <f t="shared" ref="G24" si="8">AVERAGE(F24,F25,F26,F27)</f>
        <v>29.295955616384632</v>
      </c>
      <c r="H24" s="32">
        <f t="shared" ref="H24" si="9">STDEV(F24:F27)/SQRT(COUNT(F24:F27))</f>
        <v>1.672728222296789</v>
      </c>
    </row>
    <row r="25" spans="1:10">
      <c r="A25" t="s">
        <v>41</v>
      </c>
      <c r="B25">
        <v>3</v>
      </c>
      <c r="C25">
        <v>2</v>
      </c>
      <c r="D25" s="8">
        <v>90758.363168455049</v>
      </c>
      <c r="E25" s="8">
        <v>3184.1432085129309</v>
      </c>
      <c r="F25" s="12">
        <f>D25/E25</f>
        <v>28.50322904001586</v>
      </c>
    </row>
    <row r="26" spans="1:10">
      <c r="A26" t="s">
        <v>41</v>
      </c>
      <c r="B26">
        <v>3</v>
      </c>
      <c r="C26">
        <v>3</v>
      </c>
      <c r="D26" s="8">
        <v>110434.19422872788</v>
      </c>
      <c r="E26" s="8">
        <v>3466.8361860866335</v>
      </c>
      <c r="F26" s="12">
        <f>D26/E26</f>
        <v>31.854459888220465</v>
      </c>
    </row>
    <row r="27" spans="1:10">
      <c r="A27" t="s">
        <v>41</v>
      </c>
      <c r="B27">
        <v>3</v>
      </c>
      <c r="C27">
        <v>4</v>
      </c>
      <c r="D27" s="8">
        <v>158499.31603193784</v>
      </c>
      <c r="E27" s="8">
        <v>4962.8006410977732</v>
      </c>
      <c r="F27" s="12">
        <f>D27/E27</f>
        <v>31.937473917323775</v>
      </c>
    </row>
    <row r="28" spans="1:10">
      <c r="D28" s="8"/>
      <c r="E28" s="8"/>
      <c r="F28" s="12"/>
    </row>
    <row r="29" spans="1:10">
      <c r="A29" t="s">
        <v>42</v>
      </c>
      <c r="B29">
        <v>1</v>
      </c>
      <c r="C29">
        <v>1</v>
      </c>
      <c r="D29" s="8">
        <v>112031.1903747249</v>
      </c>
      <c r="E29" s="8">
        <v>3471.1125346086274</v>
      </c>
      <c r="F29" s="12">
        <f>D29/E29</f>
        <v>32.27529769136585</v>
      </c>
      <c r="G29" s="5">
        <f t="shared" ref="G29" si="10">AVERAGE(F29,F30,F31,F32)</f>
        <v>30.76396489853758</v>
      </c>
      <c r="H29" s="32">
        <f t="shared" ref="H29" si="11">STDEV(F29:F32)/SQRT(COUNT(F29:F32))</f>
        <v>1.5113327928282718</v>
      </c>
      <c r="I29" s="5">
        <f>AVERAGE(F29:F30,F33:F40)</f>
        <v>28.326614775430592</v>
      </c>
      <c r="J29" s="32">
        <f>STDEV(G29:G40)/SQRT(COUNT(G29:G40))</f>
        <v>3.7404114038829057</v>
      </c>
    </row>
    <row r="30" spans="1:10">
      <c r="A30" t="s">
        <v>42</v>
      </c>
      <c r="B30">
        <v>1</v>
      </c>
      <c r="C30">
        <v>2</v>
      </c>
      <c r="D30" s="8">
        <v>130571.89620404289</v>
      </c>
      <c r="E30" s="8">
        <v>4463.5947880587082</v>
      </c>
      <c r="F30" s="12">
        <f>D30/E30</f>
        <v>29.252632105709306</v>
      </c>
    </row>
    <row r="31" spans="1:10">
      <c r="A31" t="s">
        <v>42</v>
      </c>
      <c r="B31">
        <v>1</v>
      </c>
      <c r="C31">
        <v>3</v>
      </c>
      <c r="D31" s="8">
        <v>134054.45398785244</v>
      </c>
      <c r="E31" s="8"/>
      <c r="F31" s="12"/>
    </row>
    <row r="32" spans="1:10">
      <c r="A32" t="s">
        <v>42</v>
      </c>
      <c r="B32">
        <v>1</v>
      </c>
      <c r="C32">
        <v>4</v>
      </c>
      <c r="D32" s="8"/>
      <c r="E32" s="8"/>
      <c r="F32" s="12"/>
    </row>
    <row r="33" spans="1:10">
      <c r="A33" t="s">
        <v>42</v>
      </c>
      <c r="B33">
        <v>2</v>
      </c>
      <c r="C33">
        <v>1</v>
      </c>
      <c r="D33" s="8">
        <v>63539.133846560137</v>
      </c>
      <c r="E33" s="8">
        <v>3083.7055129283867</v>
      </c>
      <c r="F33" s="12">
        <f>D33/E33</f>
        <v>20.604799511553008</v>
      </c>
      <c r="G33" s="5">
        <f t="shared" ref="G33" si="12">AVERAGE(F33,F34,F35,F36)</f>
        <v>21.482060285788961</v>
      </c>
      <c r="H33" s="32">
        <f t="shared" ref="H33" si="13">STDEV(F33:F36)/SQRT(COUNT(F33:F36))</f>
        <v>2.1249388279786103</v>
      </c>
    </row>
    <row r="34" spans="1:10">
      <c r="A34" t="s">
        <v>42</v>
      </c>
      <c r="B34">
        <v>2</v>
      </c>
      <c r="C34">
        <v>2</v>
      </c>
      <c r="D34" s="8">
        <v>89037.469726752184</v>
      </c>
      <c r="E34" s="8">
        <v>3441.2885041466466</v>
      </c>
      <c r="F34" s="12">
        <f>D34/E34</f>
        <v>25.873294151148553</v>
      </c>
    </row>
    <row r="35" spans="1:10">
      <c r="A35" t="s">
        <v>42</v>
      </c>
      <c r="B35">
        <v>2</v>
      </c>
      <c r="C35">
        <v>3</v>
      </c>
      <c r="D35" s="8">
        <v>53739.688649163407</v>
      </c>
      <c r="E35" s="8">
        <v>3361.6229415656207</v>
      </c>
      <c r="F35" s="12">
        <f>D35/E35</f>
        <v>15.986233311501328</v>
      </c>
    </row>
    <row r="36" spans="1:10">
      <c r="A36" t="s">
        <v>42</v>
      </c>
      <c r="B36">
        <v>2</v>
      </c>
      <c r="C36">
        <v>4</v>
      </c>
      <c r="D36" s="8">
        <v>83068.261482728281</v>
      </c>
      <c r="E36" s="8">
        <v>3540.2559387402971</v>
      </c>
      <c r="F36" s="12">
        <f>D36/E36</f>
        <v>23.46391416895295</v>
      </c>
    </row>
    <row r="37" spans="1:10">
      <c r="A37" t="s">
        <v>42</v>
      </c>
      <c r="B37">
        <v>3</v>
      </c>
      <c r="C37">
        <v>1</v>
      </c>
      <c r="D37" s="8">
        <v>106031.92497761345</v>
      </c>
      <c r="E37" s="8">
        <v>3610.7766564241051</v>
      </c>
      <c r="F37" s="12">
        <f>D37/E37</f>
        <v>29.365406688604512</v>
      </c>
      <c r="G37" s="5">
        <f t="shared" ref="G37" si="14">AVERAGE(F37,F38,F39,F40)</f>
        <v>33.952494203518718</v>
      </c>
      <c r="H37" s="32">
        <f t="shared" ref="H37" si="15">STDEV(F37:F40)/SQRT(COUNT(F37:F40))</f>
        <v>6.7899128552644292</v>
      </c>
    </row>
    <row r="38" spans="1:10">
      <c r="A38" t="s">
        <v>42</v>
      </c>
      <c r="B38">
        <v>3</v>
      </c>
      <c r="C38">
        <v>2</v>
      </c>
      <c r="D38" s="8">
        <v>54256.536702942089</v>
      </c>
      <c r="E38" s="8">
        <v>2500.6879837534207</v>
      </c>
      <c r="F38" s="12">
        <f>D38/E38</f>
        <v>21.696643905772465</v>
      </c>
    </row>
    <row r="39" spans="1:10">
      <c r="A39" t="s">
        <v>42</v>
      </c>
      <c r="B39">
        <v>3</v>
      </c>
      <c r="C39">
        <v>3</v>
      </c>
      <c r="D39" s="8">
        <v>135020.26001245531</v>
      </c>
      <c r="E39" s="8">
        <v>2531.705797195611</v>
      </c>
      <c r="F39" s="12">
        <f>D39/E39</f>
        <v>53.331733948714835</v>
      </c>
    </row>
    <row r="40" spans="1:10">
      <c r="A40" t="s">
        <v>42</v>
      </c>
      <c r="B40">
        <v>3</v>
      </c>
      <c r="C40">
        <v>4</v>
      </c>
      <c r="D40" s="8">
        <v>131198.28932654942</v>
      </c>
      <c r="E40" s="8">
        <v>4176.1359299970945</v>
      </c>
      <c r="F40" s="12">
        <f>D40/E40</f>
        <v>31.416192270983071</v>
      </c>
    </row>
    <row r="41" spans="1:10">
      <c r="D41" s="8"/>
      <c r="E41" s="8"/>
      <c r="F41" s="12"/>
    </row>
    <row r="42" spans="1:10">
      <c r="A42" t="s">
        <v>43</v>
      </c>
      <c r="B42">
        <v>1</v>
      </c>
      <c r="C42">
        <v>1</v>
      </c>
      <c r="D42" s="8">
        <v>80523.959746016058</v>
      </c>
      <c r="E42" s="8">
        <v>3403.3195442373426</v>
      </c>
      <c r="F42" s="12">
        <f>D42/E42</f>
        <v>23.660417042637956</v>
      </c>
      <c r="G42" s="5">
        <f t="shared" ref="G42" si="16">AVERAGE(F42,F43,F44,F45)</f>
        <v>27.547557889814875</v>
      </c>
      <c r="H42" s="32">
        <f t="shared" ref="H42" si="17">STDEV(F42:F45)/SQRT(COUNT(F42:F45))</f>
        <v>1.3584807389788971</v>
      </c>
      <c r="I42" s="5">
        <f>AVERAGE(F42:F48,F50:F53)</f>
        <v>29.366309247872742</v>
      </c>
      <c r="J42" s="32">
        <f>STDEV(G42:G53)/SQRT(COUNT(G42:G53))</f>
        <v>2.7857330416578145</v>
      </c>
    </row>
    <row r="43" spans="1:10">
      <c r="A43" t="s">
        <v>43</v>
      </c>
      <c r="B43">
        <v>1</v>
      </c>
      <c r="C43">
        <v>2</v>
      </c>
      <c r="D43" s="8">
        <v>105525.68614696305</v>
      </c>
      <c r="E43" s="8">
        <v>3557.7559325502593</v>
      </c>
      <c r="F43" s="12">
        <f>D43/E43</f>
        <v>29.660743498871906</v>
      </c>
    </row>
    <row r="44" spans="1:10">
      <c r="A44" t="s">
        <v>43</v>
      </c>
      <c r="B44">
        <v>1</v>
      </c>
      <c r="C44">
        <v>3</v>
      </c>
      <c r="D44" s="8">
        <v>116125.4500278116</v>
      </c>
      <c r="E44" s="8">
        <v>3985.0195529904463</v>
      </c>
      <c r="F44" s="12">
        <f>D44/E44</f>
        <v>29.140496924455118</v>
      </c>
    </row>
    <row r="45" spans="1:10">
      <c r="A45" t="s">
        <v>43</v>
      </c>
      <c r="B45">
        <v>1</v>
      </c>
      <c r="C45">
        <v>4</v>
      </c>
      <c r="D45" s="8">
        <v>84876.643544268285</v>
      </c>
      <c r="E45" s="8">
        <v>3060.9811834786569</v>
      </c>
      <c r="F45" s="12">
        <f>D45/E45</f>
        <v>27.728574093294519</v>
      </c>
    </row>
    <row r="46" spans="1:10">
      <c r="A46" t="s">
        <v>43</v>
      </c>
      <c r="B46">
        <v>2</v>
      </c>
      <c r="C46">
        <v>1</v>
      </c>
      <c r="D46" s="8">
        <v>73349.157248662726</v>
      </c>
      <c r="E46" s="8">
        <v>3287.8522056702309</v>
      </c>
      <c r="F46" s="12">
        <f>D46/E46</f>
        <v>22.309140636603054</v>
      </c>
      <c r="G46" s="5">
        <f t="shared" ref="G46" si="18">AVERAGE(F46,F47,F48,F49)</f>
        <v>25.08449553429071</v>
      </c>
      <c r="H46" s="32">
        <f t="shared" ref="H46" si="19">STDEV(F46:F49)/SQRT(COUNT(F46:F49))</f>
        <v>1.6950551472323154</v>
      </c>
    </row>
    <row r="47" spans="1:10">
      <c r="A47" t="s">
        <v>43</v>
      </c>
      <c r="B47">
        <v>2</v>
      </c>
      <c r="C47">
        <v>2</v>
      </c>
      <c r="D47" s="8">
        <v>81493.182102617284</v>
      </c>
      <c r="E47" s="8">
        <v>3287.8522056702309</v>
      </c>
      <c r="F47" s="12">
        <f>D47/E47</f>
        <v>24.786145180757856</v>
      </c>
    </row>
    <row r="48" spans="1:10">
      <c r="A48" t="s">
        <v>43</v>
      </c>
      <c r="B48">
        <v>2</v>
      </c>
      <c r="C48">
        <v>3</v>
      </c>
      <c r="D48" s="8">
        <v>76760.979945975501</v>
      </c>
      <c r="E48" s="8">
        <v>2726.0612469768594</v>
      </c>
      <c r="F48" s="12">
        <f>D48/E48</f>
        <v>28.158200785511223</v>
      </c>
    </row>
    <row r="49" spans="1:8">
      <c r="A49" t="s">
        <v>43</v>
      </c>
      <c r="B49">
        <v>2</v>
      </c>
      <c r="C49">
        <v>4</v>
      </c>
      <c r="D49" s="8">
        <v>70593.942717653961</v>
      </c>
      <c r="E49" s="8"/>
      <c r="F49" s="12"/>
    </row>
    <row r="50" spans="1:8">
      <c r="A50" t="s">
        <v>43</v>
      </c>
      <c r="B50">
        <v>3</v>
      </c>
      <c r="C50">
        <v>1</v>
      </c>
      <c r="D50" s="8">
        <v>127179.8106750291</v>
      </c>
      <c r="E50" s="8">
        <v>4354.8911482352032</v>
      </c>
      <c r="F50" s="12">
        <f>D50/E50</f>
        <v>29.203901164456902</v>
      </c>
      <c r="G50" s="5">
        <f t="shared" ref="G50" si="20">AVERAGE(F50,F51,F52,F53)</f>
        <v>34.396420891117124</v>
      </c>
      <c r="H50" s="32">
        <f t="shared" ref="H50" si="21">STDEV(F50:F53)/SQRT(COUNT(F50:F53))</f>
        <v>5.1798840206853756</v>
      </c>
    </row>
    <row r="51" spans="1:8">
      <c r="A51" t="s">
        <v>43</v>
      </c>
      <c r="B51">
        <v>3</v>
      </c>
      <c r="C51">
        <v>2</v>
      </c>
      <c r="D51" s="8">
        <v>97746.857593170469</v>
      </c>
      <c r="E51" s="8">
        <v>4044.4077250170872</v>
      </c>
      <c r="F51" s="12">
        <f>D51/E51</f>
        <v>24.168398499623947</v>
      </c>
    </row>
    <row r="52" spans="1:8">
      <c r="A52" t="s">
        <v>43</v>
      </c>
      <c r="B52">
        <v>3</v>
      </c>
      <c r="C52">
        <v>3</v>
      </c>
      <c r="D52" s="8">
        <v>89893.798523929872</v>
      </c>
      <c r="E52" s="8">
        <v>1869.439897261748</v>
      </c>
      <c r="F52" s="12">
        <f>D52/E52</f>
        <v>48.085952726055183</v>
      </c>
    </row>
    <row r="53" spans="1:8">
      <c r="A53" t="s">
        <v>43</v>
      </c>
      <c r="B53">
        <v>3</v>
      </c>
      <c r="C53">
        <v>4</v>
      </c>
      <c r="D53" s="8">
        <v>171933.78897610417</v>
      </c>
      <c r="E53" s="8">
        <v>4759.0925617279536</v>
      </c>
      <c r="F53" s="12">
        <f>D53/E53</f>
        <v>36.127431174332457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Cadmium</vt:lpstr>
      <vt:lpstr>Manganese</vt:lpstr>
      <vt:lpstr>Paraquat</vt:lpstr>
      <vt:lpstr>Maneb</vt:lpstr>
      <vt:lpstr>Rotenone</vt:lpstr>
      <vt:lpstr>6-OHDA</vt:lpstr>
      <vt:lpstr>AflatoxinB1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 Gonzalez</dc:creator>
  <cp:lastModifiedBy>Claudia  Gonzalez</cp:lastModifiedBy>
  <dcterms:created xsi:type="dcterms:W3CDTF">2014-11-04T01:59:59Z</dcterms:created>
  <dcterms:modified xsi:type="dcterms:W3CDTF">2014-11-04T03:03:02Z</dcterms:modified>
</cp:coreProperties>
</file>